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ПУ" sheetId="1" r:id="rId1"/>
  </sheets>
  <definedNames>
    <definedName name="Excel_BuiltIn_Print_Area_1">#REF!</definedName>
    <definedName name="Excel_BuiltIn_Print_Area_2">'ОПУ'!$A$1:$N$115</definedName>
  </definedNames>
  <calcPr fullCalcOnLoad="1"/>
</workbook>
</file>

<file path=xl/sharedStrings.xml><?xml version="1.0" encoding="utf-8"?>
<sst xmlns="http://schemas.openxmlformats.org/spreadsheetml/2006/main" count="110" uniqueCount="96">
  <si>
    <t>Общество с ограниченной ответственностью "Благоустроенный город-1"</t>
  </si>
  <si>
    <t>Аренда помещения</t>
  </si>
  <si>
    <t>Бухгалтерские услуги</t>
  </si>
  <si>
    <t>Командировочные расходы</t>
  </si>
  <si>
    <t>Информационные услуги: 1С</t>
  </si>
  <si>
    <t>Информационные услуги: Консультант+</t>
  </si>
  <si>
    <t>Оплата труда</t>
  </si>
  <si>
    <t>Расходы на услуги банков</t>
  </si>
  <si>
    <t>Санкции (пени, штрафы)</t>
  </si>
  <si>
    <t>Страхование лифтов</t>
  </si>
  <si>
    <t>Благотворительная помощь</t>
  </si>
  <si>
    <t>Статья дохода/расхода</t>
  </si>
  <si>
    <t>Итого за период</t>
  </si>
  <si>
    <t>ДОХОДЫ</t>
  </si>
  <si>
    <t>Собственные услуги итого</t>
  </si>
  <si>
    <t>в т.ч.:</t>
  </si>
  <si>
    <t>коммунальные услуги населению (домофон, лифт, содержание)</t>
  </si>
  <si>
    <t>аренда помещения</t>
  </si>
  <si>
    <t>размещение оборудования</t>
  </si>
  <si>
    <t>предоставление места для размещения рекламы</t>
  </si>
  <si>
    <t>Промывка системы отопления</t>
  </si>
  <si>
    <t>Услуги ресурсоснабжающих организаций итого</t>
  </si>
  <si>
    <t>Услуги ГТС (отопление, горячая вода)</t>
  </si>
  <si>
    <t>Услуги Гранит (лифт)</t>
  </si>
  <si>
    <t>Прочие доходы итого</t>
  </si>
  <si>
    <t>Пени от населения</t>
  </si>
  <si>
    <t>Резерв сомнительных долгов</t>
  </si>
  <si>
    <t>Списание дебиторской (кредиторской) задолженности</t>
  </si>
  <si>
    <t>Прибыль/Убытки прошлых лет (услуги Калдины)</t>
  </si>
  <si>
    <t>Прибыль/Убытки прошлых лет (услуги связи)</t>
  </si>
  <si>
    <t>Убытки прошлых лет (коммунальные расходы офис)</t>
  </si>
  <si>
    <t>Убытки прошлых лет (ТО лифтов)</t>
  </si>
  <si>
    <t>Итого доходы</t>
  </si>
  <si>
    <t>РАСХОДЫ</t>
  </si>
  <si>
    <t>Расходы на собственные услуги итого</t>
  </si>
  <si>
    <t>Вознаграждение за услуги ЕИРКЦ 2,4%</t>
  </si>
  <si>
    <t>Страховые взносы от ФОТ</t>
  </si>
  <si>
    <t>Амортизация ОС</t>
  </si>
  <si>
    <t>Коммунальные расходы офисного помещения</t>
  </si>
  <si>
    <t>Материальные расходы</t>
  </si>
  <si>
    <t>Материальные расходы: спецодежда</t>
  </si>
  <si>
    <t>Почтовые расходы</t>
  </si>
  <si>
    <t>Расходы на АДС</t>
  </si>
  <si>
    <t>Расходы на обучение сотрудников</t>
  </si>
  <si>
    <t>Расходы на ПО, оргтехнику, запчасти</t>
  </si>
  <si>
    <t>Расходы на рекламу</t>
  </si>
  <si>
    <t>Расходы на ремонт квартир жильцов за собств. Счет</t>
  </si>
  <si>
    <t>Расходы на содержание служебного транспорта</t>
  </si>
  <si>
    <t>Расходы на ТО ККМ</t>
  </si>
  <si>
    <t>Расходы на транспортировку и размещение ТБО</t>
  </si>
  <si>
    <t>Расходы на услуги связи - интернет</t>
  </si>
  <si>
    <t>Расходы на услуги связи - стационарная связь</t>
  </si>
  <si>
    <t>Расходы на услугу по поддержке ВП</t>
  </si>
  <si>
    <t>Расходы на составление гранд сметы</t>
  </si>
  <si>
    <t>Расходы на дератизацию и дизинфекцию помещен.</t>
  </si>
  <si>
    <t>Медицинские услуги</t>
  </si>
  <si>
    <t>Техобслуживание и ремонт лифтов</t>
  </si>
  <si>
    <t>Расходы на поверку СИ (приборов)</t>
  </si>
  <si>
    <t>Транспортный налог</t>
  </si>
  <si>
    <t>Расходы на услуги ресурсоснабж.орг-ций</t>
  </si>
  <si>
    <t>водоснабжение</t>
  </si>
  <si>
    <t>горячее водоснабжение</t>
  </si>
  <si>
    <t>отопление</t>
  </si>
  <si>
    <t>Прочие расходы итого</t>
  </si>
  <si>
    <t>Материальная помощь</t>
  </si>
  <si>
    <t>Представительские расходы</t>
  </si>
  <si>
    <t>Больничные за счет работодателя</t>
  </si>
  <si>
    <t>Возмещение убытков к получению (уплате)</t>
  </si>
  <si>
    <t>Плата за загрязнение</t>
  </si>
  <si>
    <t>госпошлина</t>
  </si>
  <si>
    <t>Итого расходы</t>
  </si>
  <si>
    <t>Прибыль до налогообложения</t>
  </si>
  <si>
    <t>Единый налог по УСН</t>
  </si>
  <si>
    <t>Чистая прибыль</t>
  </si>
  <si>
    <t>Отношение ФОТ к выручке, %</t>
  </si>
  <si>
    <t>Доля прибыли в выручке, %</t>
  </si>
  <si>
    <t>Счет 99</t>
  </si>
  <si>
    <t>Убытки прошлых лет итого:</t>
  </si>
  <si>
    <t>Услуги ГТС (водоотведение, хол. вода)</t>
  </si>
  <si>
    <t>Услуги Гортеплосети  (хол.вода) итого:</t>
  </si>
  <si>
    <t>Услуги Гортеплосети (гор.вода) итого:</t>
  </si>
  <si>
    <t>Водоотведение</t>
  </si>
  <si>
    <t>Водоснабжение</t>
  </si>
  <si>
    <t>Холодная вода  ОДН</t>
  </si>
  <si>
    <t>Убытки прошлых лет (Новогодние подарки)</t>
  </si>
  <si>
    <t>Обслуживание домофонов</t>
  </si>
  <si>
    <t>Услуги Атом (электроэнергия)</t>
  </si>
  <si>
    <t xml:space="preserve">Расходы на работы по договорам </t>
  </si>
  <si>
    <t>Обьявление на телеканале</t>
  </si>
  <si>
    <t>Обязательное и добровольное страхование имущества</t>
  </si>
  <si>
    <t>Разницы стоимости возврата и фактической стоимости товаров</t>
  </si>
  <si>
    <t>Отчет о прибылях и убытках за 2015 год</t>
  </si>
  <si>
    <t>ТО содержание и ремонт общего имущества</t>
  </si>
  <si>
    <t xml:space="preserve">Расходы на лицензию </t>
  </si>
  <si>
    <t>Собственные услуги (повышающий коэффициент)</t>
  </si>
  <si>
    <t>Информационные услуги: Контур-Экстерн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</si>
</sst>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_-* #,##0.00_р_._-;\-* #,##0.00_р_._-;_-* \-??_р_._-;_-@_-"/>
  </numFmts>
  <fonts count="27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21"/>
      <name val="Arial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4" borderId="2" applyNumberFormat="0" applyAlignment="0" applyProtection="0"/>
    <xf numFmtId="0" fontId="17" fillId="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2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" fillId="0" borderId="0">
      <alignment/>
      <protection/>
    </xf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13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26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9" fillId="18" borderId="10" xfId="0" applyFont="1" applyFill="1" applyBorder="1" applyAlignment="1">
      <alignment horizontal="center"/>
    </xf>
    <xf numFmtId="164" fontId="5" fillId="18" borderId="10" xfId="0" applyNumberFormat="1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" wrapText="1"/>
    </xf>
    <xf numFmtId="0" fontId="9" fillId="19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6" fillId="19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6" fillId="18" borderId="10" xfId="0" applyFont="1" applyFill="1" applyBorder="1" applyAlignment="1">
      <alignment/>
    </xf>
    <xf numFmtId="4" fontId="6" fillId="18" borderId="10" xfId="0" applyNumberFormat="1" applyFont="1" applyFill="1" applyBorder="1" applyAlignment="1">
      <alignment/>
    </xf>
    <xf numFmtId="0" fontId="6" fillId="19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5" fontId="1" fillId="0" borderId="0" xfId="59" applyFill="1" applyBorder="1" applyAlignment="1" applyProtection="1">
      <alignment/>
      <protection/>
    </xf>
    <xf numFmtId="165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2" fillId="19" borderId="0" xfId="0" applyNumberFormat="1" applyFont="1" applyFill="1" applyAlignment="1">
      <alignment/>
    </xf>
    <xf numFmtId="0" fontId="12" fillId="19" borderId="0" xfId="0" applyFont="1" applyFill="1" applyAlignment="1">
      <alignment/>
    </xf>
    <xf numFmtId="0" fontId="6" fillId="20" borderId="10" xfId="0" applyFont="1" applyFill="1" applyBorder="1" applyAlignment="1">
      <alignment/>
    </xf>
    <xf numFmtId="4" fontId="6" fillId="2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3" fillId="0" borderId="0" xfId="0" applyNumberFormat="1" applyFont="1" applyAlignment="1">
      <alignment/>
    </xf>
    <xf numFmtId="0" fontId="8" fillId="19" borderId="8" xfId="52" applyNumberFormat="1" applyFont="1" applyFill="1" applyBorder="1" applyAlignment="1">
      <alignment horizontal="left" vertical="top" wrapText="1" inden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П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PageLayoutView="0" workbookViewId="0" topLeftCell="A1">
      <selection activeCell="I3" sqref="I3"/>
    </sheetView>
  </sheetViews>
  <sheetFormatPr defaultColWidth="12" defaultRowHeight="11.25"/>
  <cols>
    <col min="1" max="1" width="57.33203125" style="0" customWidth="1"/>
    <col min="2" max="4" width="14.33203125" style="0" customWidth="1"/>
    <col min="5" max="5" width="14.16015625" style="0" customWidth="1"/>
    <col min="6" max="7" width="14.33203125" style="0" customWidth="1"/>
    <col min="8" max="8" width="15.66015625" style="0" customWidth="1"/>
    <col min="9" max="10" width="14" style="0" customWidth="1"/>
    <col min="11" max="13" width="14.66015625" style="0" bestFit="1" customWidth="1"/>
    <col min="14" max="14" width="21.33203125" style="0" customWidth="1"/>
    <col min="15" max="15" width="19.5" style="0" customWidth="1"/>
  </cols>
  <sheetData>
    <row r="1" ht="15">
      <c r="A1" s="1" t="s">
        <v>0</v>
      </c>
    </row>
    <row r="3" spans="1:10" ht="15.75">
      <c r="A3" s="2" t="s">
        <v>91</v>
      </c>
      <c r="J3" s="35"/>
    </row>
    <row r="4" ht="11.25">
      <c r="J4" s="35"/>
    </row>
    <row r="5" spans="1:14" s="9" customFormat="1" ht="15">
      <c r="A5" s="6" t="s">
        <v>11</v>
      </c>
      <c r="B5" s="7">
        <v>42005</v>
      </c>
      <c r="C5" s="7">
        <v>42036</v>
      </c>
      <c r="D5" s="7">
        <v>42064</v>
      </c>
      <c r="E5" s="7">
        <v>42095</v>
      </c>
      <c r="F5" s="7">
        <v>42125</v>
      </c>
      <c r="G5" s="7">
        <v>42156</v>
      </c>
      <c r="H5" s="7">
        <v>42186</v>
      </c>
      <c r="I5" s="7">
        <v>42217</v>
      </c>
      <c r="J5" s="7">
        <v>42248</v>
      </c>
      <c r="K5" s="7">
        <v>41913</v>
      </c>
      <c r="L5" s="7">
        <v>41944</v>
      </c>
      <c r="M5" s="7">
        <v>41974</v>
      </c>
      <c r="N5" s="8" t="s">
        <v>12</v>
      </c>
    </row>
    <row r="6" spans="1:14" s="12" customFormat="1" ht="15">
      <c r="A6" s="10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s="15" customFormat="1" ht="15">
      <c r="A7" s="10" t="s">
        <v>14</v>
      </c>
      <c r="B7" s="13">
        <f>SUM(B9:B16)</f>
        <v>2587617.07</v>
      </c>
      <c r="C7" s="13">
        <f aca="true" t="shared" si="0" ref="C7:N7">SUM(C9:C16)</f>
        <v>2599215.36</v>
      </c>
      <c r="D7" s="13">
        <f t="shared" si="0"/>
        <v>2655064.8600000003</v>
      </c>
      <c r="E7" s="13">
        <f t="shared" si="0"/>
        <v>2801029.47</v>
      </c>
      <c r="F7" s="13">
        <f t="shared" si="0"/>
        <v>2737421.8200000003</v>
      </c>
      <c r="G7" s="13">
        <f t="shared" si="0"/>
        <v>2783440.3699999996</v>
      </c>
      <c r="H7" s="13">
        <f t="shared" si="0"/>
        <v>2866149.87</v>
      </c>
      <c r="I7" s="13">
        <f t="shared" si="0"/>
        <v>2827094.17</v>
      </c>
      <c r="J7" s="13">
        <f t="shared" si="0"/>
        <v>2829232.17</v>
      </c>
      <c r="K7" s="13">
        <f t="shared" si="0"/>
        <v>2897817.16</v>
      </c>
      <c r="L7" s="13">
        <f t="shared" si="0"/>
        <v>2844093.33</v>
      </c>
      <c r="M7" s="13">
        <f t="shared" si="0"/>
        <v>2882943.3799999994</v>
      </c>
      <c r="N7" s="13">
        <f t="shared" si="0"/>
        <v>33311119.03</v>
      </c>
      <c r="O7" s="14"/>
    </row>
    <row r="8" spans="1:14" s="12" customFormat="1" ht="15">
      <c r="A8" s="16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f aca="true" t="shared" si="1" ref="N8:N34">SUM(B8:M8)</f>
        <v>0</v>
      </c>
    </row>
    <row r="9" spans="1:14" s="12" customFormat="1" ht="26.25">
      <c r="A9" s="17" t="s">
        <v>16</v>
      </c>
      <c r="B9" s="18">
        <v>2535525.56</v>
      </c>
      <c r="C9" s="18">
        <v>2538459.08</v>
      </c>
      <c r="D9" s="18">
        <v>2545147.93</v>
      </c>
      <c r="E9" s="18">
        <v>2734908.64</v>
      </c>
      <c r="F9" s="18">
        <v>2665544.18</v>
      </c>
      <c r="G9" s="18">
        <v>2711585.35</v>
      </c>
      <c r="H9" s="18">
        <v>2741204.33</v>
      </c>
      <c r="I9" s="18">
        <v>2699899.31</v>
      </c>
      <c r="J9" s="18">
        <v>2708984.33</v>
      </c>
      <c r="K9" s="18">
        <v>2751977.08</v>
      </c>
      <c r="L9" s="18">
        <v>2740207.35</v>
      </c>
      <c r="M9" s="18">
        <v>2757626.03</v>
      </c>
      <c r="N9" s="18">
        <f t="shared" si="1"/>
        <v>32131069.17</v>
      </c>
    </row>
    <row r="10" spans="1:14" s="12" customFormat="1" ht="15">
      <c r="A10" s="17" t="s">
        <v>94</v>
      </c>
      <c r="B10" s="18"/>
      <c r="C10" s="18"/>
      <c r="D10" s="18"/>
      <c r="E10" s="18"/>
      <c r="F10" s="18"/>
      <c r="G10" s="18"/>
      <c r="H10" s="18">
        <v>30890.16</v>
      </c>
      <c r="I10" s="18">
        <v>30329.36</v>
      </c>
      <c r="J10" s="18">
        <v>29826.12</v>
      </c>
      <c r="K10" s="18">
        <v>29354.89</v>
      </c>
      <c r="L10" s="18">
        <v>15478.94</v>
      </c>
      <c r="M10" s="18">
        <v>32329.57</v>
      </c>
      <c r="N10" s="18">
        <f t="shared" si="1"/>
        <v>168209.04</v>
      </c>
    </row>
    <row r="11" spans="1:14" s="12" customFormat="1" ht="15">
      <c r="A11" s="19" t="s">
        <v>17</v>
      </c>
      <c r="B11" s="18">
        <f>1600+1400+719.71</f>
        <v>3719.71</v>
      </c>
      <c r="C11" s="18">
        <f>3719.71</f>
        <v>3719.71</v>
      </c>
      <c r="D11" s="18">
        <v>3719.71</v>
      </c>
      <c r="E11" s="18">
        <v>3719.71</v>
      </c>
      <c r="F11" s="18">
        <v>3719.71</v>
      </c>
      <c r="G11" s="18">
        <v>3719.71</v>
      </c>
      <c r="H11" s="18">
        <f aca="true" t="shared" si="2" ref="H11:M11">1600+1400+719.71</f>
        <v>3719.71</v>
      </c>
      <c r="I11" s="18">
        <f t="shared" si="2"/>
        <v>3719.71</v>
      </c>
      <c r="J11" s="18">
        <f t="shared" si="2"/>
        <v>3719.71</v>
      </c>
      <c r="K11" s="18">
        <f t="shared" si="2"/>
        <v>3719.71</v>
      </c>
      <c r="L11" s="18">
        <f t="shared" si="2"/>
        <v>3719.71</v>
      </c>
      <c r="M11" s="18">
        <f t="shared" si="2"/>
        <v>3719.71</v>
      </c>
      <c r="N11" s="18">
        <f t="shared" si="1"/>
        <v>44636.52</v>
      </c>
    </row>
    <row r="12" spans="1:14" s="12" customFormat="1" ht="15">
      <c r="A12" s="19" t="s">
        <v>18</v>
      </c>
      <c r="B12" s="18">
        <f>3750+22500</f>
        <v>26250</v>
      </c>
      <c r="C12" s="18">
        <f>3750+6000+22500</f>
        <v>32250</v>
      </c>
      <c r="D12" s="18">
        <f>3750+57000+22500</f>
        <v>83250</v>
      </c>
      <c r="E12" s="18">
        <f>3750+13000+22500</f>
        <v>39250</v>
      </c>
      <c r="F12" s="18">
        <f>6168.1+3750+13000+22500</f>
        <v>45418.1</v>
      </c>
      <c r="G12" s="18">
        <f>3084.05+3750+13000+22500</f>
        <v>42334.05</v>
      </c>
      <c r="H12" s="18">
        <f>24000+3750+1000+1000+11000+22500+3084.05</f>
        <v>66334.05</v>
      </c>
      <c r="I12" s="18">
        <f>14250+3750+9500+9500+11000+22500</f>
        <v>70500</v>
      </c>
      <c r="J12" s="18">
        <f>14250+3750+5250+5250+11000+22500</f>
        <v>62000</v>
      </c>
      <c r="K12" s="18">
        <f>14250+3750+5250+5250+11000+22500</f>
        <v>62000</v>
      </c>
      <c r="L12" s="18">
        <f>14250+3750+5250+5250+11000+22500</f>
        <v>62000</v>
      </c>
      <c r="M12" s="18">
        <f>14250+3750+7750+7750+11000+22500</f>
        <v>67000</v>
      </c>
      <c r="N12" s="18">
        <f t="shared" si="1"/>
        <v>658586.2</v>
      </c>
    </row>
    <row r="13" spans="1:14" s="12" customFormat="1" ht="15">
      <c r="A13" s="19" t="s">
        <v>19</v>
      </c>
      <c r="B13" s="18">
        <v>17490</v>
      </c>
      <c r="C13" s="18">
        <v>17490</v>
      </c>
      <c r="D13" s="18">
        <v>17490</v>
      </c>
      <c r="E13" s="18">
        <v>17490</v>
      </c>
      <c r="F13" s="18">
        <v>17490</v>
      </c>
      <c r="G13" s="18">
        <v>17490</v>
      </c>
      <c r="H13" s="18">
        <v>17490</v>
      </c>
      <c r="I13" s="18">
        <v>17490</v>
      </c>
      <c r="J13" s="18">
        <v>17490</v>
      </c>
      <c r="K13" s="18">
        <v>17490</v>
      </c>
      <c r="L13" s="18">
        <v>17490</v>
      </c>
      <c r="M13" s="18">
        <v>17490</v>
      </c>
      <c r="N13" s="18">
        <f t="shared" si="1"/>
        <v>209880</v>
      </c>
    </row>
    <row r="14" spans="1:14" s="12" customFormat="1" ht="15">
      <c r="A14" s="19" t="s">
        <v>85</v>
      </c>
      <c r="B14" s="18">
        <v>3400</v>
      </c>
      <c r="C14" s="18">
        <v>3700</v>
      </c>
      <c r="D14" s="18">
        <v>4300</v>
      </c>
      <c r="E14" s="18">
        <v>3900</v>
      </c>
      <c r="F14" s="18">
        <v>4100</v>
      </c>
      <c r="G14" s="18">
        <v>6800</v>
      </c>
      <c r="H14" s="18">
        <v>4600</v>
      </c>
      <c r="I14" s="18">
        <v>4600</v>
      </c>
      <c r="J14" s="18">
        <v>4400</v>
      </c>
      <c r="K14" s="18">
        <v>4700</v>
      </c>
      <c r="L14" s="18">
        <v>3600</v>
      </c>
      <c r="M14" s="18">
        <v>4300</v>
      </c>
      <c r="N14" s="18">
        <f t="shared" si="1"/>
        <v>52400</v>
      </c>
    </row>
    <row r="15" spans="1:14" s="12" customFormat="1" ht="15">
      <c r="A15" s="19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>
        <f t="shared" si="1"/>
        <v>0</v>
      </c>
    </row>
    <row r="16" spans="1:14" s="12" customFormat="1" ht="15">
      <c r="A16" s="19" t="s">
        <v>92</v>
      </c>
      <c r="B16" s="18">
        <f>147.34+178.86+905.6</f>
        <v>1231.8000000000002</v>
      </c>
      <c r="C16" s="18">
        <f>199.71+2000+178.86+1218</f>
        <v>3596.57</v>
      </c>
      <c r="D16" s="18">
        <f>105.18+178.86+873.18</f>
        <v>1157.22</v>
      </c>
      <c r="E16" s="18">
        <f>430.93+113.33+178.86+1038</f>
        <v>1761.12</v>
      </c>
      <c r="F16" s="18">
        <f>63.02+178.86+794.62+113.33</f>
        <v>1149.83</v>
      </c>
      <c r="G16" s="18">
        <f>136.69+178.86+1082.38+113.33</f>
        <v>1511.26</v>
      </c>
      <c r="H16" s="18">
        <f>1532.76+200+178.86</f>
        <v>1911.62</v>
      </c>
      <c r="I16" s="18">
        <f>178.86+200+176.93</f>
        <v>555.79</v>
      </c>
      <c r="J16" s="18">
        <f>143.86+178.86+2489.29</f>
        <v>2812.01</v>
      </c>
      <c r="K16" s="18">
        <f>143.86+178.86+28252.76</f>
        <v>28575.48</v>
      </c>
      <c r="L16" s="18">
        <f>110.79+178.86+1307.68</f>
        <v>1597.3300000000002</v>
      </c>
      <c r="M16" s="18">
        <f>99.21+178.86+200</f>
        <v>478.07</v>
      </c>
      <c r="N16" s="18">
        <f t="shared" si="1"/>
        <v>46338.100000000006</v>
      </c>
    </row>
    <row r="17" spans="1:15" s="15" customFormat="1" ht="15">
      <c r="A17" s="10" t="s">
        <v>21</v>
      </c>
      <c r="B17" s="13">
        <f aca="true" t="shared" si="3" ref="B17:M17">SUM(B19:B22)</f>
        <v>9214963.24</v>
      </c>
      <c r="C17" s="13">
        <f t="shared" si="3"/>
        <v>8707420.870000001</v>
      </c>
      <c r="D17" s="13">
        <f t="shared" si="3"/>
        <v>8211391.26</v>
      </c>
      <c r="E17" s="13">
        <f t="shared" si="3"/>
        <v>8434645.34</v>
      </c>
      <c r="F17" s="13">
        <f t="shared" si="3"/>
        <v>5300277.44</v>
      </c>
      <c r="G17" s="13">
        <f t="shared" si="3"/>
        <v>4976872.95</v>
      </c>
      <c r="H17" s="13">
        <f t="shared" si="3"/>
        <v>5390851.600000001</v>
      </c>
      <c r="I17" s="13">
        <f t="shared" si="3"/>
        <v>5724554.57</v>
      </c>
      <c r="J17" s="13">
        <f t="shared" si="3"/>
        <v>5671827.49</v>
      </c>
      <c r="K17" s="13">
        <f t="shared" si="3"/>
        <v>8992856.97</v>
      </c>
      <c r="L17" s="13">
        <f t="shared" si="3"/>
        <v>9128145.41</v>
      </c>
      <c r="M17" s="13">
        <f t="shared" si="3"/>
        <v>9001536.190000001</v>
      </c>
      <c r="N17" s="13">
        <f t="shared" si="1"/>
        <v>88755343.33</v>
      </c>
      <c r="O17" s="14"/>
    </row>
    <row r="18" spans="1:14" s="12" customFormat="1" ht="15">
      <c r="A18" s="16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1"/>
        <v>0</v>
      </c>
    </row>
    <row r="19" spans="1:14" s="12" customFormat="1" ht="15">
      <c r="A19" s="19" t="s">
        <v>78</v>
      </c>
      <c r="B19" s="18">
        <v>1665785.93</v>
      </c>
      <c r="C19" s="18">
        <v>1536690.45</v>
      </c>
      <c r="D19" s="18">
        <v>1489720.3</v>
      </c>
      <c r="E19" s="18">
        <v>1457238.77</v>
      </c>
      <c r="F19" s="18">
        <v>1624606.75</v>
      </c>
      <c r="G19" s="18">
        <v>1455356.25</v>
      </c>
      <c r="H19" s="18">
        <v>1631491.51</v>
      </c>
      <c r="I19" s="18">
        <v>1645866.79</v>
      </c>
      <c r="J19" s="18">
        <v>1639342.62</v>
      </c>
      <c r="K19" s="18">
        <v>1646685.67</v>
      </c>
      <c r="L19" s="18">
        <v>1636004.04</v>
      </c>
      <c r="M19" s="18">
        <v>1550158.25</v>
      </c>
      <c r="N19" s="18">
        <f t="shared" si="1"/>
        <v>18978947.330000002</v>
      </c>
    </row>
    <row r="20" spans="1:14" s="12" customFormat="1" ht="15">
      <c r="A20" s="19" t="s">
        <v>22</v>
      </c>
      <c r="B20" s="18">
        <v>4603259.24</v>
      </c>
      <c r="C20" s="18">
        <v>4501374.62</v>
      </c>
      <c r="D20" s="18">
        <v>4292415.18</v>
      </c>
      <c r="E20" s="18">
        <v>4489391.09</v>
      </c>
      <c r="F20" s="18">
        <v>1280651.69</v>
      </c>
      <c r="G20" s="18">
        <v>1212512.25</v>
      </c>
      <c r="H20" s="18">
        <v>1309159.1</v>
      </c>
      <c r="I20" s="18">
        <v>1323309.95</v>
      </c>
      <c r="J20" s="18">
        <v>1339666.66</v>
      </c>
      <c r="K20" s="18">
        <v>4450680.66</v>
      </c>
      <c r="L20" s="18">
        <v>4661190.49</v>
      </c>
      <c r="M20" s="18">
        <v>4598350.54</v>
      </c>
      <c r="N20" s="18">
        <f t="shared" si="1"/>
        <v>38061961.47</v>
      </c>
    </row>
    <row r="21" spans="1:14" s="12" customFormat="1" ht="15">
      <c r="A21" s="19" t="s">
        <v>23</v>
      </c>
      <c r="B21" s="18">
        <v>568558.93</v>
      </c>
      <c r="C21" s="18">
        <v>568563.66</v>
      </c>
      <c r="D21" s="18">
        <v>568563.66</v>
      </c>
      <c r="E21" s="18">
        <v>568563.66</v>
      </c>
      <c r="F21" s="18">
        <v>568563.66</v>
      </c>
      <c r="G21" s="18">
        <v>568563.69</v>
      </c>
      <c r="H21" s="18">
        <v>568564.35</v>
      </c>
      <c r="I21" s="18">
        <v>566012.8</v>
      </c>
      <c r="J21" s="18">
        <v>568563.78</v>
      </c>
      <c r="K21" s="18">
        <v>568563.78</v>
      </c>
      <c r="L21" s="18">
        <v>568674.27</v>
      </c>
      <c r="M21" s="18">
        <v>568563.78</v>
      </c>
      <c r="N21" s="18">
        <f t="shared" si="1"/>
        <v>6820320.0200000005</v>
      </c>
    </row>
    <row r="22" spans="1:14" s="12" customFormat="1" ht="15">
      <c r="A22" s="19" t="s">
        <v>86</v>
      </c>
      <c r="B22" s="18">
        <v>2377359.14</v>
      </c>
      <c r="C22" s="18">
        <v>2100792.14</v>
      </c>
      <c r="D22" s="18">
        <v>1860692.12</v>
      </c>
      <c r="E22" s="18">
        <v>1919451.82</v>
      </c>
      <c r="F22" s="18">
        <v>1826455.34</v>
      </c>
      <c r="G22" s="18">
        <v>1740440.76</v>
      </c>
      <c r="H22" s="18">
        <v>1881636.64</v>
      </c>
      <c r="I22" s="18">
        <v>2189365.03</v>
      </c>
      <c r="J22" s="18">
        <v>2124254.43</v>
      </c>
      <c r="K22" s="18">
        <v>2326926.86</v>
      </c>
      <c r="L22" s="18">
        <v>2262276.61</v>
      </c>
      <c r="M22" s="18">
        <v>2284463.62</v>
      </c>
      <c r="N22" s="18">
        <f t="shared" si="1"/>
        <v>24894114.51</v>
      </c>
    </row>
    <row r="23" spans="1:15" s="12" customFormat="1" ht="15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1"/>
        <v>0</v>
      </c>
      <c r="O23" s="20"/>
    </row>
    <row r="24" spans="1:15" s="15" customFormat="1" ht="15">
      <c r="A24" s="10" t="s">
        <v>24</v>
      </c>
      <c r="B24" s="13">
        <f aca="true" t="shared" si="4" ref="B24:M24">SUM(B26:B33)</f>
        <v>516212.02</v>
      </c>
      <c r="C24" s="13">
        <f t="shared" si="4"/>
        <v>179507.91</v>
      </c>
      <c r="D24" s="13">
        <f t="shared" si="4"/>
        <v>228914.93</v>
      </c>
      <c r="E24" s="13">
        <f t="shared" si="4"/>
        <v>401454.54000000004</v>
      </c>
      <c r="F24" s="13">
        <f t="shared" si="4"/>
        <v>209964.89</v>
      </c>
      <c r="G24" s="13">
        <f t="shared" si="4"/>
        <v>132778.27000000002</v>
      </c>
      <c r="H24" s="13">
        <f t="shared" si="4"/>
        <v>238193.94</v>
      </c>
      <c r="I24" s="13">
        <f t="shared" si="4"/>
        <v>208023.07</v>
      </c>
      <c r="J24" s="13">
        <f t="shared" si="4"/>
        <v>205405.96000000002</v>
      </c>
      <c r="K24" s="13">
        <f t="shared" si="4"/>
        <v>366592.22</v>
      </c>
      <c r="L24" s="13">
        <f t="shared" si="4"/>
        <v>174471.27</v>
      </c>
      <c r="M24" s="13">
        <f t="shared" si="4"/>
        <v>257367.49</v>
      </c>
      <c r="N24" s="13">
        <f t="shared" si="1"/>
        <v>3118886.51</v>
      </c>
      <c r="O24" s="21"/>
    </row>
    <row r="25" spans="1:14" s="12" customFormat="1" ht="15">
      <c r="A25" s="16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1"/>
        <v>0</v>
      </c>
    </row>
    <row r="26" spans="1:14" s="12" customFormat="1" ht="15">
      <c r="A26" s="19" t="s">
        <v>25</v>
      </c>
      <c r="B26" s="18">
        <v>10666.02</v>
      </c>
      <c r="C26" s="18">
        <v>11586.21</v>
      </c>
      <c r="D26" s="18">
        <v>11311.43</v>
      </c>
      <c r="E26" s="18">
        <v>13810.77</v>
      </c>
      <c r="F26" s="18">
        <v>14509.47</v>
      </c>
      <c r="G26" s="18">
        <v>16448.58</v>
      </c>
      <c r="H26" s="18">
        <v>13465.27</v>
      </c>
      <c r="I26" s="18">
        <v>11848</v>
      </c>
      <c r="J26" s="18">
        <v>14279.36</v>
      </c>
      <c r="K26" s="18">
        <v>15065.37</v>
      </c>
      <c r="L26" s="18">
        <v>9433.52</v>
      </c>
      <c r="M26" s="18">
        <v>18294.24</v>
      </c>
      <c r="N26" s="18">
        <f t="shared" si="1"/>
        <v>160718.24</v>
      </c>
    </row>
    <row r="27" spans="1:14" s="12" customFormat="1" ht="15">
      <c r="A27" s="17" t="s">
        <v>26</v>
      </c>
      <c r="B27" s="18">
        <v>505546</v>
      </c>
      <c r="C27" s="18">
        <v>167921.7</v>
      </c>
      <c r="D27" s="18">
        <v>217603.5</v>
      </c>
      <c r="E27" s="18">
        <v>387643.77</v>
      </c>
      <c r="F27" s="18">
        <v>195455.42</v>
      </c>
      <c r="G27" s="18">
        <v>116329.69</v>
      </c>
      <c r="H27" s="18">
        <v>224728.67</v>
      </c>
      <c r="I27" s="18">
        <v>196175.07</v>
      </c>
      <c r="J27" s="18">
        <v>191126.6</v>
      </c>
      <c r="K27" s="18">
        <v>351526.85</v>
      </c>
      <c r="L27" s="18">
        <v>165037.75</v>
      </c>
      <c r="M27" s="18">
        <v>239073.25</v>
      </c>
      <c r="N27" s="18">
        <f t="shared" si="1"/>
        <v>2958168.27</v>
      </c>
    </row>
    <row r="28" spans="1:14" s="12" customFormat="1" ht="26.25">
      <c r="A28" s="17" t="s">
        <v>90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f t="shared" si="1"/>
        <v>0</v>
      </c>
    </row>
    <row r="29" spans="1:14" s="12" customFormat="1" ht="15">
      <c r="A29" s="17" t="s">
        <v>27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>
        <f t="shared" si="1"/>
        <v>0</v>
      </c>
    </row>
    <row r="30" spans="1:14" s="12" customFormat="1" ht="15">
      <c r="A30" s="17" t="s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>
        <f t="shared" si="1"/>
        <v>0</v>
      </c>
    </row>
    <row r="31" spans="1:14" s="12" customFormat="1" ht="15">
      <c r="A31" s="17" t="s">
        <v>29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>
        <f t="shared" si="1"/>
        <v>0</v>
      </c>
    </row>
    <row r="32" spans="1:14" s="12" customFormat="1" ht="15">
      <c r="A32" s="17" t="s">
        <v>30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>
        <f t="shared" si="1"/>
        <v>0</v>
      </c>
    </row>
    <row r="33" spans="1:14" s="12" customFormat="1" ht="15">
      <c r="A33" s="17" t="s">
        <v>31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>
        <f t="shared" si="1"/>
        <v>0</v>
      </c>
    </row>
    <row r="34" spans="1:14" s="24" customFormat="1" ht="15">
      <c r="A34" s="22" t="s">
        <v>32</v>
      </c>
      <c r="B34" s="23">
        <f aca="true" t="shared" si="5" ref="B34:M34">B7+B17+B24</f>
        <v>12318792.33</v>
      </c>
      <c r="C34" s="23">
        <f t="shared" si="5"/>
        <v>11486144.14</v>
      </c>
      <c r="D34" s="23">
        <f t="shared" si="5"/>
        <v>11095371.05</v>
      </c>
      <c r="E34" s="23">
        <f t="shared" si="5"/>
        <v>11637129.350000001</v>
      </c>
      <c r="F34" s="23">
        <f t="shared" si="5"/>
        <v>8247664.15</v>
      </c>
      <c r="G34" s="23">
        <f t="shared" si="5"/>
        <v>7893091.59</v>
      </c>
      <c r="H34" s="23">
        <f t="shared" si="5"/>
        <v>8495195.41</v>
      </c>
      <c r="I34" s="23">
        <f t="shared" si="5"/>
        <v>8759671.81</v>
      </c>
      <c r="J34" s="23">
        <f t="shared" si="5"/>
        <v>8706465.620000001</v>
      </c>
      <c r="K34" s="23">
        <f t="shared" si="5"/>
        <v>12257266.350000001</v>
      </c>
      <c r="L34" s="23">
        <f t="shared" si="5"/>
        <v>12146710.01</v>
      </c>
      <c r="M34" s="23">
        <f t="shared" si="5"/>
        <v>12141847.06</v>
      </c>
      <c r="N34" s="23">
        <f t="shared" si="1"/>
        <v>125185348.87000002</v>
      </c>
    </row>
    <row r="35" spans="1:14" s="12" customFormat="1" ht="15" hidden="1">
      <c r="A35" s="1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12" customFormat="1" ht="15">
      <c r="A36" s="10" t="s">
        <v>33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s="15" customFormat="1" ht="15">
      <c r="A37" s="10" t="s">
        <v>34</v>
      </c>
      <c r="B37" s="13">
        <f>SUM(B39:B72)</f>
        <v>2357550.6300000004</v>
      </c>
      <c r="C37" s="13">
        <f>SUM(C39:C72)</f>
        <v>2439942.6199999996</v>
      </c>
      <c r="D37" s="13">
        <f>SUM(D39:D72)</f>
        <v>2675927.8000000003</v>
      </c>
      <c r="E37" s="13">
        <f>SUM(E39:E72)</f>
        <v>2454244.099999999</v>
      </c>
      <c r="F37" s="13">
        <f>SUM(F39:F73)</f>
        <v>2785647.2400000007</v>
      </c>
      <c r="G37" s="13">
        <f>SUM(G39:G73)</f>
        <v>2845146.0100000002</v>
      </c>
      <c r="H37" s="13">
        <f>SUM(H39:H73)</f>
        <v>2672325.4900000007</v>
      </c>
      <c r="I37" s="13">
        <f>SUM(I39:I73)</f>
        <v>2706402.5300000003</v>
      </c>
      <c r="J37" s="13">
        <f>SUM(J39:J73)</f>
        <v>2661358.19</v>
      </c>
      <c r="K37" s="13">
        <f>SUM(K39:K72)</f>
        <v>2504882.7100000004</v>
      </c>
      <c r="L37" s="13">
        <f>SUM(L39:L72)</f>
        <v>2960132.0300000007</v>
      </c>
      <c r="M37" s="13">
        <f>SUM(M39:M72)</f>
        <v>3114406.24</v>
      </c>
      <c r="N37" s="13">
        <f aca="true" t="shared" si="6" ref="N37:N85">SUM(B37:M37)</f>
        <v>32177965.590000004</v>
      </c>
    </row>
    <row r="38" spans="1:14" s="12" customFormat="1" ht="15">
      <c r="A38" s="16" t="s">
        <v>15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</row>
    <row r="39" spans="1:14" s="12" customFormat="1" ht="15">
      <c r="A39" s="16" t="s">
        <v>35</v>
      </c>
      <c r="B39" s="11">
        <v>240951.56</v>
      </c>
      <c r="C39" s="11">
        <v>271244.42</v>
      </c>
      <c r="D39" s="11">
        <v>266877.13</v>
      </c>
      <c r="E39" s="11">
        <v>261957.72</v>
      </c>
      <c r="F39" s="11">
        <v>256530.3</v>
      </c>
      <c r="G39" s="11">
        <v>203803.96</v>
      </c>
      <c r="H39" s="11">
        <v>191096.02</v>
      </c>
      <c r="I39" s="11">
        <v>191131.8</v>
      </c>
      <c r="J39" s="11">
        <v>208034.38</v>
      </c>
      <c r="K39" s="11">
        <v>203451.86</v>
      </c>
      <c r="L39" s="11">
        <v>274831.2</v>
      </c>
      <c r="M39" s="11">
        <v>284790.68</v>
      </c>
      <c r="N39" s="11">
        <f t="shared" si="6"/>
        <v>2854701.0300000003</v>
      </c>
    </row>
    <row r="40" spans="1:14" s="12" customFormat="1" ht="15">
      <c r="A40" s="16" t="s">
        <v>6</v>
      </c>
      <c r="B40" s="11">
        <v>1264955.15</v>
      </c>
      <c r="C40" s="11">
        <v>1230536.88</v>
      </c>
      <c r="D40" s="11">
        <v>1424805.93</v>
      </c>
      <c r="E40" s="11">
        <v>1295838.19</v>
      </c>
      <c r="F40" s="11">
        <v>1330863.83</v>
      </c>
      <c r="G40" s="11">
        <v>1380587.72</v>
      </c>
      <c r="H40" s="11">
        <v>1380050.39</v>
      </c>
      <c r="I40" s="11">
        <v>1241918.55</v>
      </c>
      <c r="J40" s="11">
        <v>1382542.94</v>
      </c>
      <c r="K40" s="11">
        <v>1366957.44</v>
      </c>
      <c r="L40" s="11">
        <v>1314602.62</v>
      </c>
      <c r="M40" s="11">
        <v>1346697.42</v>
      </c>
      <c r="N40" s="11">
        <f t="shared" si="6"/>
        <v>15960357.06</v>
      </c>
    </row>
    <row r="41" spans="1:14" s="12" customFormat="1" ht="15">
      <c r="A41" s="16" t="s">
        <v>36</v>
      </c>
      <c r="B41" s="11">
        <f>251330.25+2422.94+2270.64</f>
        <v>256023.83000000002</v>
      </c>
      <c r="C41" s="11">
        <f>244559.58+2376.49+2270.66</f>
        <v>249206.72999999998</v>
      </c>
      <c r="D41" s="11">
        <f>283924.03+2588.64+2360.64</f>
        <v>288873.31000000006</v>
      </c>
      <c r="E41" s="11">
        <f>257266.03+2494.54+3708.55</f>
        <v>263469.12</v>
      </c>
      <c r="F41" s="11">
        <f>264473.06+2478.87+1746.72</f>
        <v>268698.64999999997</v>
      </c>
      <c r="G41" s="11">
        <f>274295.96+2503.64+3452.99</f>
        <v>280252.59</v>
      </c>
      <c r="H41" s="11">
        <f>274182.9+2534.3+1908.62</f>
        <v>278625.82</v>
      </c>
      <c r="I41" s="11">
        <f>246587.29+2349.73+2200.51</f>
        <v>251137.53000000003</v>
      </c>
      <c r="J41" s="11">
        <f>274703.74+2563.97+2270.65</f>
        <v>279538.36</v>
      </c>
      <c r="K41" s="11">
        <f>266556.22+2510.06+2421.04</f>
        <v>271487.31999999995</v>
      </c>
      <c r="L41" s="11">
        <f>261689.75+2487.69+2293.21</f>
        <v>266470.65</v>
      </c>
      <c r="M41" s="11">
        <f>261634.98+2414.2+2270.64</f>
        <v>266319.82</v>
      </c>
      <c r="N41" s="11">
        <f t="shared" si="6"/>
        <v>3220103.7299999995</v>
      </c>
    </row>
    <row r="42" spans="1:14" s="12" customFormat="1" ht="15">
      <c r="A42" s="16" t="s">
        <v>37</v>
      </c>
      <c r="B42" s="11">
        <v>3028.33</v>
      </c>
      <c r="C42" s="11">
        <v>3028.33</v>
      </c>
      <c r="D42" s="11">
        <v>3028.33</v>
      </c>
      <c r="E42" s="11">
        <v>3028.33</v>
      </c>
      <c r="F42" s="11">
        <v>3028.33</v>
      </c>
      <c r="G42" s="11">
        <v>3028.33</v>
      </c>
      <c r="H42" s="11">
        <v>3028.33</v>
      </c>
      <c r="I42" s="11">
        <v>3028.33</v>
      </c>
      <c r="J42" s="11">
        <v>3028.33</v>
      </c>
      <c r="K42" s="11">
        <v>0.2</v>
      </c>
      <c r="L42" s="11"/>
      <c r="M42" s="11"/>
      <c r="N42" s="11">
        <f t="shared" si="6"/>
        <v>27255.170000000002</v>
      </c>
    </row>
    <row r="43" spans="1:14" s="12" customFormat="1" ht="15">
      <c r="A43" s="16" t="s">
        <v>1</v>
      </c>
      <c r="B43" s="11">
        <v>20000</v>
      </c>
      <c r="C43" s="11">
        <v>20000</v>
      </c>
      <c r="D43" s="11">
        <v>20000</v>
      </c>
      <c r="E43" s="11">
        <v>60367.65</v>
      </c>
      <c r="F43" s="11">
        <v>23000</v>
      </c>
      <c r="G43" s="11">
        <v>152986.06</v>
      </c>
      <c r="H43" s="11">
        <v>23000</v>
      </c>
      <c r="I43" s="11">
        <v>23000</v>
      </c>
      <c r="J43" s="11">
        <v>23000</v>
      </c>
      <c r="K43" s="11"/>
      <c r="L43" s="11">
        <v>48081.21</v>
      </c>
      <c r="M43" s="11">
        <v>24868.23</v>
      </c>
      <c r="N43" s="11">
        <f t="shared" si="6"/>
        <v>438303.14999999997</v>
      </c>
    </row>
    <row r="44" spans="1:14" s="12" customFormat="1" ht="15">
      <c r="A44" s="16" t="s">
        <v>2</v>
      </c>
      <c r="B44" s="11">
        <v>15000</v>
      </c>
      <c r="C44" s="11">
        <v>15000</v>
      </c>
      <c r="D44" s="11">
        <v>15000</v>
      </c>
      <c r="E44" s="11">
        <v>15000</v>
      </c>
      <c r="F44" s="11">
        <v>15000</v>
      </c>
      <c r="G44" s="11">
        <v>15000</v>
      </c>
      <c r="H44" s="11">
        <v>15000</v>
      </c>
      <c r="I44" s="11">
        <v>15000</v>
      </c>
      <c r="J44" s="11">
        <v>15000</v>
      </c>
      <c r="K44" s="11">
        <v>15000</v>
      </c>
      <c r="L44" s="11">
        <v>15000</v>
      </c>
      <c r="M44" s="11">
        <v>15000</v>
      </c>
      <c r="N44" s="11">
        <f t="shared" si="6"/>
        <v>180000</v>
      </c>
    </row>
    <row r="45" spans="1:14" s="12" customFormat="1" ht="15">
      <c r="A45" s="16" t="s">
        <v>4</v>
      </c>
      <c r="B45" s="11">
        <v>3200</v>
      </c>
      <c r="C45" s="11">
        <v>3200</v>
      </c>
      <c r="D45" s="11">
        <v>3200</v>
      </c>
      <c r="E45" s="11">
        <v>3200</v>
      </c>
      <c r="F45" s="11">
        <v>15728</v>
      </c>
      <c r="G45" s="11">
        <v>3200</v>
      </c>
      <c r="H45" s="11">
        <v>3200</v>
      </c>
      <c r="I45" s="11">
        <v>3200</v>
      </c>
      <c r="J45" s="11">
        <v>3200</v>
      </c>
      <c r="K45" s="11">
        <v>3200</v>
      </c>
      <c r="L45" s="11">
        <v>3200</v>
      </c>
      <c r="M45" s="11">
        <v>3200</v>
      </c>
      <c r="N45" s="11">
        <f t="shared" si="6"/>
        <v>50928</v>
      </c>
    </row>
    <row r="46" spans="1:14" s="12" customFormat="1" ht="15">
      <c r="A46" s="16" t="s">
        <v>5</v>
      </c>
      <c r="B46" s="11">
        <v>7095.49</v>
      </c>
      <c r="C46" s="11">
        <v>7173.81</v>
      </c>
      <c r="D46" s="11">
        <v>7258.77</v>
      </c>
      <c r="E46" s="11">
        <v>7359.66</v>
      </c>
      <c r="F46" s="11">
        <v>7484.45</v>
      </c>
      <c r="G46" s="11">
        <v>7574.72</v>
      </c>
      <c r="H46" s="11">
        <v>7672.95</v>
      </c>
      <c r="I46" s="11">
        <v>7749.95</v>
      </c>
      <c r="J46" s="11">
        <v>7820.31</v>
      </c>
      <c r="K46" s="11">
        <v>7866.77</v>
      </c>
      <c r="L46" s="11">
        <v>7905.27</v>
      </c>
      <c r="M46" s="11">
        <v>7945.09</v>
      </c>
      <c r="N46" s="11">
        <f t="shared" si="6"/>
        <v>90907.24</v>
      </c>
    </row>
    <row r="47" spans="1:14" s="12" customFormat="1" ht="15">
      <c r="A47" s="16" t="s">
        <v>95</v>
      </c>
      <c r="B47" s="11"/>
      <c r="C47" s="11"/>
      <c r="D47" s="11"/>
      <c r="E47" s="11">
        <v>1080</v>
      </c>
      <c r="F47" s="11"/>
      <c r="G47" s="11"/>
      <c r="H47" s="11"/>
      <c r="I47" s="11"/>
      <c r="J47" s="11"/>
      <c r="K47" s="11"/>
      <c r="L47" s="11"/>
      <c r="M47" s="11">
        <v>5092</v>
      </c>
      <c r="N47" s="11">
        <f t="shared" si="6"/>
        <v>6172</v>
      </c>
    </row>
    <row r="48" spans="1:14" s="12" customFormat="1" ht="15">
      <c r="A48" s="16" t="s">
        <v>38</v>
      </c>
      <c r="B48" s="11">
        <v>6857.14</v>
      </c>
      <c r="C48" s="11">
        <v>6685.23</v>
      </c>
      <c r="D48" s="11">
        <v>5779.57</v>
      </c>
      <c r="E48" s="11">
        <v>6482.88</v>
      </c>
      <c r="F48" s="11">
        <v>4918.35</v>
      </c>
      <c r="G48" s="11">
        <v>5052.22</v>
      </c>
      <c r="H48" s="11">
        <v>5671.57</v>
      </c>
      <c r="I48" s="11">
        <v>5878.03</v>
      </c>
      <c r="J48" s="11">
        <v>5781.34</v>
      </c>
      <c r="K48" s="11">
        <v>3456.7</v>
      </c>
      <c r="L48" s="11">
        <v>9448.07</v>
      </c>
      <c r="M48" s="11">
        <v>7505.45</v>
      </c>
      <c r="N48" s="11">
        <f t="shared" si="6"/>
        <v>73516.55</v>
      </c>
    </row>
    <row r="49" spans="1:14" s="12" customFormat="1" ht="15">
      <c r="A49" s="16" t="s">
        <v>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>
        <f t="shared" si="6"/>
        <v>0</v>
      </c>
    </row>
    <row r="50" spans="1:14" s="12" customFormat="1" ht="15">
      <c r="A50" s="16" t="s">
        <v>39</v>
      </c>
      <c r="B50" s="11">
        <v>178830.09</v>
      </c>
      <c r="C50" s="11">
        <v>181726.83</v>
      </c>
      <c r="D50" s="11">
        <v>200282.2</v>
      </c>
      <c r="E50" s="11">
        <v>151232.19</v>
      </c>
      <c r="F50" s="11">
        <v>217874.35</v>
      </c>
      <c r="G50" s="11">
        <v>256413.68</v>
      </c>
      <c r="H50" s="11">
        <v>361562.19</v>
      </c>
      <c r="I50" s="11">
        <v>245298.54</v>
      </c>
      <c r="J50" s="11">
        <v>278236.16</v>
      </c>
      <c r="K50" s="11">
        <v>252880.47</v>
      </c>
      <c r="L50" s="11">
        <v>298961.2</v>
      </c>
      <c r="M50" s="11">
        <v>391676.17</v>
      </c>
      <c r="N50" s="11">
        <f t="shared" si="6"/>
        <v>3014974.0700000003</v>
      </c>
    </row>
    <row r="51" spans="1:14" s="12" customFormat="1" ht="15">
      <c r="A51" s="16" t="s">
        <v>40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f t="shared" si="6"/>
        <v>0</v>
      </c>
    </row>
    <row r="52" spans="1:14" s="12" customFormat="1" ht="15">
      <c r="A52" s="16" t="s">
        <v>41</v>
      </c>
      <c r="B52" s="11">
        <v>962</v>
      </c>
      <c r="C52" s="11">
        <v>97.7</v>
      </c>
      <c r="D52" s="11"/>
      <c r="E52" s="11">
        <v>1552</v>
      </c>
      <c r="F52" s="11">
        <v>52.5</v>
      </c>
      <c r="G52" s="11">
        <v>882</v>
      </c>
      <c r="H52" s="11">
        <v>958.5</v>
      </c>
      <c r="I52" s="11">
        <v>52.5</v>
      </c>
      <c r="J52" s="11">
        <v>1064.5</v>
      </c>
      <c r="K52" s="11">
        <v>606</v>
      </c>
      <c r="L52" s="11"/>
      <c r="M52" s="11">
        <v>404</v>
      </c>
      <c r="N52" s="11">
        <f t="shared" si="6"/>
        <v>6631.7</v>
      </c>
    </row>
    <row r="53" spans="1:14" s="12" customFormat="1" ht="15">
      <c r="A53" s="16" t="s">
        <v>42</v>
      </c>
      <c r="B53" s="11">
        <v>105094.89</v>
      </c>
      <c r="C53" s="11">
        <v>105094.89</v>
      </c>
      <c r="D53" s="11">
        <v>105094.89</v>
      </c>
      <c r="E53" s="11">
        <v>105094.89</v>
      </c>
      <c r="F53" s="11">
        <v>105094.89</v>
      </c>
      <c r="G53" s="11">
        <v>105094.89</v>
      </c>
      <c r="H53" s="11">
        <v>105094.89</v>
      </c>
      <c r="I53" s="11">
        <v>105094.89</v>
      </c>
      <c r="J53" s="11">
        <v>105094.89</v>
      </c>
      <c r="K53" s="11">
        <v>105094.89</v>
      </c>
      <c r="L53" s="11">
        <v>105094.89</v>
      </c>
      <c r="M53" s="11">
        <v>105094.89</v>
      </c>
      <c r="N53" s="11">
        <f t="shared" si="6"/>
        <v>1261138.6799999997</v>
      </c>
    </row>
    <row r="54" spans="1:14" s="12" customFormat="1" ht="15">
      <c r="A54" s="16" t="s">
        <v>43</v>
      </c>
      <c r="B54" s="11"/>
      <c r="C54" s="11">
        <v>31132</v>
      </c>
      <c r="D54" s="11">
        <v>7623</v>
      </c>
      <c r="E54" s="11"/>
      <c r="F54" s="11">
        <v>1360</v>
      </c>
      <c r="G54" s="11">
        <v>35455.44</v>
      </c>
      <c r="H54" s="11">
        <v>7800</v>
      </c>
      <c r="I54" s="11"/>
      <c r="J54" s="11"/>
      <c r="K54" s="11">
        <v>7600</v>
      </c>
      <c r="L54" s="11">
        <v>1734</v>
      </c>
      <c r="M54" s="11"/>
      <c r="N54" s="11">
        <f t="shared" si="6"/>
        <v>92704.44</v>
      </c>
    </row>
    <row r="55" spans="1:14" s="12" customFormat="1" ht="15">
      <c r="A55" s="16" t="s">
        <v>44</v>
      </c>
      <c r="B55" s="11">
        <v>950</v>
      </c>
      <c r="C55" s="11">
        <v>25040</v>
      </c>
      <c r="D55" s="11">
        <v>1700</v>
      </c>
      <c r="E55" s="11">
        <v>2550</v>
      </c>
      <c r="F55" s="11">
        <v>1050</v>
      </c>
      <c r="G55" s="11">
        <v>1750</v>
      </c>
      <c r="H55" s="11">
        <v>1250</v>
      </c>
      <c r="I55" s="11">
        <v>1000</v>
      </c>
      <c r="J55" s="11">
        <v>350</v>
      </c>
      <c r="K55" s="11">
        <v>2000</v>
      </c>
      <c r="L55" s="11">
        <v>1440</v>
      </c>
      <c r="M55" s="11">
        <v>2700</v>
      </c>
      <c r="N55" s="11">
        <f t="shared" si="6"/>
        <v>41780</v>
      </c>
    </row>
    <row r="56" spans="1:14" s="12" customFormat="1" ht="15">
      <c r="A56" s="16" t="s">
        <v>87</v>
      </c>
      <c r="B56" s="11">
        <v>13000</v>
      </c>
      <c r="C56" s="11">
        <v>1000</v>
      </c>
      <c r="D56" s="11">
        <v>52005.44</v>
      </c>
      <c r="E56" s="11">
        <v>51378.46</v>
      </c>
      <c r="F56" s="11">
        <v>247600</v>
      </c>
      <c r="G56" s="11">
        <v>101678.31</v>
      </c>
      <c r="H56" s="11">
        <v>12000</v>
      </c>
      <c r="I56" s="11">
        <v>375394.54</v>
      </c>
      <c r="J56" s="11">
        <v>108400</v>
      </c>
      <c r="K56" s="11">
        <v>10000</v>
      </c>
      <c r="L56" s="11">
        <v>303120</v>
      </c>
      <c r="M56" s="11">
        <v>380170</v>
      </c>
      <c r="N56" s="11">
        <f t="shared" si="6"/>
        <v>1655746.75</v>
      </c>
    </row>
    <row r="57" spans="1:14" s="12" customFormat="1" ht="15">
      <c r="A57" s="16" t="s">
        <v>45</v>
      </c>
      <c r="B57" s="11"/>
      <c r="C57" s="11">
        <v>1070</v>
      </c>
      <c r="D57" s="11">
        <v>220</v>
      </c>
      <c r="E57" s="11">
        <v>220</v>
      </c>
      <c r="F57" s="11"/>
      <c r="G57" s="11"/>
      <c r="H57" s="11">
        <v>495</v>
      </c>
      <c r="I57" s="11"/>
      <c r="J57" s="11">
        <v>440</v>
      </c>
      <c r="K57" s="11"/>
      <c r="L57" s="11"/>
      <c r="M57" s="11"/>
      <c r="N57" s="11">
        <f t="shared" si="6"/>
        <v>2445</v>
      </c>
    </row>
    <row r="58" spans="1:14" s="12" customFormat="1" ht="15">
      <c r="A58" s="16" t="s">
        <v>46</v>
      </c>
      <c r="B58" s="11">
        <v>5795</v>
      </c>
      <c r="C58" s="11"/>
      <c r="D58" s="11">
        <v>6051</v>
      </c>
      <c r="E58" s="11"/>
      <c r="F58" s="11"/>
      <c r="G58" s="11">
        <v>2910</v>
      </c>
      <c r="H58" s="11">
        <v>2216</v>
      </c>
      <c r="I58" s="11"/>
      <c r="J58" s="11">
        <v>4055</v>
      </c>
      <c r="K58" s="11">
        <v>5021</v>
      </c>
      <c r="L58" s="11"/>
      <c r="M58" s="11"/>
      <c r="N58" s="11">
        <f t="shared" si="6"/>
        <v>26048</v>
      </c>
    </row>
    <row r="59" spans="1:14" s="12" customFormat="1" ht="15">
      <c r="A59" s="16" t="s">
        <v>47</v>
      </c>
      <c r="B59" s="11">
        <v>1100</v>
      </c>
      <c r="C59" s="11">
        <v>4196.88</v>
      </c>
      <c r="D59" s="11">
        <v>1100</v>
      </c>
      <c r="E59" s="11">
        <v>1100</v>
      </c>
      <c r="F59" s="11">
        <v>1100</v>
      </c>
      <c r="G59" s="11">
        <v>1100</v>
      </c>
      <c r="H59" s="11">
        <v>1100</v>
      </c>
      <c r="I59" s="11">
        <v>1250</v>
      </c>
      <c r="J59" s="11">
        <v>1100</v>
      </c>
      <c r="K59" s="11">
        <v>6500</v>
      </c>
      <c r="L59" s="11">
        <v>4100</v>
      </c>
      <c r="M59" s="11">
        <v>1100</v>
      </c>
      <c r="N59" s="11">
        <f t="shared" si="6"/>
        <v>24846.88</v>
      </c>
    </row>
    <row r="60" spans="1:14" s="12" customFormat="1" ht="15">
      <c r="A60" s="16" t="s">
        <v>48</v>
      </c>
      <c r="B60" s="11">
        <v>600</v>
      </c>
      <c r="C60" s="11">
        <v>400</v>
      </c>
      <c r="D60" s="11">
        <v>300</v>
      </c>
      <c r="E60" s="11">
        <v>400</v>
      </c>
      <c r="F60" s="11">
        <v>9200</v>
      </c>
      <c r="G60" s="11"/>
      <c r="H60" s="11">
        <v>1000</v>
      </c>
      <c r="I60" s="11">
        <v>300</v>
      </c>
      <c r="J60" s="11">
        <v>300</v>
      </c>
      <c r="K60" s="11">
        <v>400</v>
      </c>
      <c r="L60" s="11">
        <v>300</v>
      </c>
      <c r="M60" s="11">
        <v>300</v>
      </c>
      <c r="N60" s="11">
        <f t="shared" si="6"/>
        <v>13500</v>
      </c>
    </row>
    <row r="61" spans="1:14" s="12" customFormat="1" ht="15">
      <c r="A61" s="16" t="s">
        <v>49</v>
      </c>
      <c r="B61" s="11">
        <v>158956.95</v>
      </c>
      <c r="C61" s="11">
        <v>156633.31</v>
      </c>
      <c r="D61" s="11">
        <v>157583.89</v>
      </c>
      <c r="E61" s="11">
        <v>156950.17</v>
      </c>
      <c r="F61" s="11">
        <v>157108.6</v>
      </c>
      <c r="G61" s="11">
        <v>156633.31</v>
      </c>
      <c r="H61" s="11">
        <v>157927.39</v>
      </c>
      <c r="I61" s="11">
        <v>153675.95</v>
      </c>
      <c r="J61" s="11">
        <v>157312.05</v>
      </c>
      <c r="K61" s="11">
        <v>153675.95</v>
      </c>
      <c r="L61" s="11">
        <v>162066.95</v>
      </c>
      <c r="M61" s="11">
        <v>158151.15</v>
      </c>
      <c r="N61" s="11">
        <f t="shared" si="6"/>
        <v>1886675.67</v>
      </c>
    </row>
    <row r="62" spans="1:14" s="12" customFormat="1" ht="15">
      <c r="A62" s="16" t="s">
        <v>50</v>
      </c>
      <c r="B62" s="11">
        <v>920</v>
      </c>
      <c r="C62" s="11">
        <v>920</v>
      </c>
      <c r="D62" s="11">
        <v>920</v>
      </c>
      <c r="E62" s="11">
        <v>920</v>
      </c>
      <c r="F62" s="11">
        <v>920</v>
      </c>
      <c r="G62" s="11">
        <v>920</v>
      </c>
      <c r="H62" s="11">
        <v>920</v>
      </c>
      <c r="I62" s="11">
        <v>920</v>
      </c>
      <c r="J62" s="11">
        <v>920</v>
      </c>
      <c r="K62" s="11">
        <v>920</v>
      </c>
      <c r="L62" s="11">
        <v>920</v>
      </c>
      <c r="M62" s="11">
        <v>920</v>
      </c>
      <c r="N62" s="11">
        <f t="shared" si="6"/>
        <v>11040</v>
      </c>
    </row>
    <row r="63" spans="1:14" s="12" customFormat="1" ht="15">
      <c r="A63" s="16" t="s">
        <v>51</v>
      </c>
      <c r="B63" s="11">
        <v>2544.2</v>
      </c>
      <c r="C63" s="11">
        <v>2516.29</v>
      </c>
      <c r="D63" s="11">
        <v>2580.84</v>
      </c>
      <c r="E63" s="11">
        <v>2605.08</v>
      </c>
      <c r="F63" s="11">
        <v>2511.21</v>
      </c>
      <c r="G63" s="11">
        <v>2798.59</v>
      </c>
      <c r="H63" s="11">
        <v>2642.16</v>
      </c>
      <c r="I63" s="11">
        <v>2600.01</v>
      </c>
      <c r="J63" s="11">
        <v>2472.55</v>
      </c>
      <c r="K63" s="11">
        <v>2589.87</v>
      </c>
      <c r="L63" s="11">
        <v>2478.23</v>
      </c>
      <c r="M63" s="11">
        <v>2711.64</v>
      </c>
      <c r="N63" s="11">
        <f t="shared" si="6"/>
        <v>31050.669999999995</v>
      </c>
    </row>
    <row r="64" spans="1:14" s="12" customFormat="1" ht="15">
      <c r="A64" s="16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f t="shared" si="6"/>
        <v>0</v>
      </c>
    </row>
    <row r="65" spans="1:14" s="12" customFormat="1" ht="15">
      <c r="A65" s="16" t="s">
        <v>53</v>
      </c>
      <c r="B65" s="11">
        <v>1510</v>
      </c>
      <c r="C65" s="11"/>
      <c r="D65" s="11"/>
      <c r="E65" s="11"/>
      <c r="F65" s="11">
        <v>1510</v>
      </c>
      <c r="G65" s="11"/>
      <c r="H65" s="11"/>
      <c r="I65" s="11">
        <v>1510</v>
      </c>
      <c r="J65" s="11"/>
      <c r="K65" s="11"/>
      <c r="L65" s="11">
        <v>1510</v>
      </c>
      <c r="M65" s="11"/>
      <c r="N65" s="11">
        <f t="shared" si="6"/>
        <v>6040</v>
      </c>
    </row>
    <row r="66" spans="1:14" s="12" customFormat="1" ht="30">
      <c r="A66" s="25" t="s">
        <v>89</v>
      </c>
      <c r="B66" s="11"/>
      <c r="C66" s="11"/>
      <c r="D66" s="11"/>
      <c r="E66" s="11"/>
      <c r="F66" s="11"/>
      <c r="G66" s="11">
        <v>45500</v>
      </c>
      <c r="H66" s="11"/>
      <c r="I66" s="11"/>
      <c r="J66" s="11"/>
      <c r="K66" s="11"/>
      <c r="L66" s="11"/>
      <c r="M66" s="11"/>
      <c r="N66" s="11">
        <f t="shared" si="6"/>
        <v>45500</v>
      </c>
    </row>
    <row r="67" spans="1:14" s="12" customFormat="1" ht="15">
      <c r="A67" s="16" t="s">
        <v>54</v>
      </c>
      <c r="B67" s="11"/>
      <c r="C67" s="11"/>
      <c r="D67" s="11"/>
      <c r="E67" s="11">
        <v>40785.76</v>
      </c>
      <c r="F67" s="11">
        <v>47423.58</v>
      </c>
      <c r="G67" s="11">
        <v>22789.91</v>
      </c>
      <c r="H67" s="11">
        <v>62616.85</v>
      </c>
      <c r="I67" s="11">
        <v>22789.91</v>
      </c>
      <c r="J67" s="11">
        <v>7596.64</v>
      </c>
      <c r="K67" s="11">
        <v>33189.12</v>
      </c>
      <c r="L67" s="11"/>
      <c r="M67" s="11"/>
      <c r="N67" s="11">
        <f t="shared" si="6"/>
        <v>237191.77000000002</v>
      </c>
    </row>
    <row r="68" spans="1:14" s="12" customFormat="1" ht="15">
      <c r="A68" s="16" t="s">
        <v>55</v>
      </c>
      <c r="B68" s="11">
        <v>1804</v>
      </c>
      <c r="C68" s="11"/>
      <c r="D68" s="11">
        <v>2414</v>
      </c>
      <c r="E68" s="11"/>
      <c r="F68" s="11"/>
      <c r="G68" s="11"/>
      <c r="H68" s="11"/>
      <c r="I68" s="11"/>
      <c r="J68" s="11">
        <v>1916</v>
      </c>
      <c r="K68" s="11">
        <v>8000</v>
      </c>
      <c r="L68" s="11">
        <v>2678</v>
      </c>
      <c r="M68" s="11">
        <v>20816</v>
      </c>
      <c r="N68" s="11">
        <f t="shared" si="6"/>
        <v>37628</v>
      </c>
    </row>
    <row r="69" spans="1:14" s="12" customFormat="1" ht="15">
      <c r="A69" s="16" t="s">
        <v>93</v>
      </c>
      <c r="B69" s="11">
        <v>18000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f t="shared" si="6"/>
        <v>18000</v>
      </c>
    </row>
    <row r="70" spans="1:14" s="12" customFormat="1" ht="15">
      <c r="A70" s="16" t="s">
        <v>56</v>
      </c>
      <c r="B70" s="11">
        <v>28700</v>
      </c>
      <c r="C70" s="11">
        <v>61500</v>
      </c>
      <c r="D70" s="11">
        <v>80804</v>
      </c>
      <c r="E70" s="11"/>
      <c r="F70" s="11">
        <v>45100</v>
      </c>
      <c r="G70" s="11">
        <v>32800</v>
      </c>
      <c r="H70" s="11">
        <v>24600</v>
      </c>
      <c r="I70" s="11">
        <v>32800</v>
      </c>
      <c r="J70" s="11">
        <v>41000</v>
      </c>
      <c r="K70" s="11">
        <v>20500</v>
      </c>
      <c r="L70" s="11">
        <v>110748</v>
      </c>
      <c r="M70" s="11">
        <v>57400</v>
      </c>
      <c r="N70" s="11">
        <f t="shared" si="6"/>
        <v>535952</v>
      </c>
    </row>
    <row r="71" spans="1:14" s="12" customFormat="1" ht="15">
      <c r="A71" s="16" t="s">
        <v>57</v>
      </c>
      <c r="B71" s="11">
        <f>21672</f>
        <v>21672</v>
      </c>
      <c r="C71" s="11">
        <f>33867.32+28672</f>
        <v>62539.32</v>
      </c>
      <c r="D71" s="11">
        <f>21672</f>
        <v>21672</v>
      </c>
      <c r="E71" s="11">
        <f>21672</f>
        <v>21672</v>
      </c>
      <c r="F71" s="11">
        <f>818.2+21672</f>
        <v>22490.2</v>
      </c>
      <c r="G71" s="11">
        <f>4508.78+21672</f>
        <v>26180.78</v>
      </c>
      <c r="H71" s="11">
        <f>1125.43+21672</f>
        <v>22797.43</v>
      </c>
      <c r="I71" s="11">
        <f>21672</f>
        <v>21672</v>
      </c>
      <c r="J71" s="11">
        <f>729.24+21672</f>
        <v>22401.24</v>
      </c>
      <c r="K71" s="11">
        <f>2813.12+21672</f>
        <v>24485.12</v>
      </c>
      <c r="L71" s="11">
        <f>3769.74+21672</f>
        <v>25441.739999999998</v>
      </c>
      <c r="M71" s="11">
        <f>1131.7+30412</f>
        <v>31543.7</v>
      </c>
      <c r="N71" s="11">
        <f t="shared" si="6"/>
        <v>324567.53</v>
      </c>
    </row>
    <row r="72" spans="1:14" s="12" customFormat="1" ht="15">
      <c r="A72" s="16" t="s">
        <v>58</v>
      </c>
      <c r="B72" s="11"/>
      <c r="C72" s="11"/>
      <c r="D72" s="11">
        <v>753.5</v>
      </c>
      <c r="E72" s="11"/>
      <c r="F72" s="11"/>
      <c r="G72" s="11">
        <v>753.5</v>
      </c>
      <c r="H72" s="11"/>
      <c r="I72" s="11"/>
      <c r="J72" s="11">
        <v>753.5</v>
      </c>
      <c r="K72" s="11"/>
      <c r="L72" s="11"/>
      <c r="M72" s="11"/>
      <c r="N72" s="11">
        <f t="shared" si="6"/>
        <v>2260.5</v>
      </c>
    </row>
    <row r="73" spans="1:14" s="12" customFormat="1" ht="15">
      <c r="A73" s="16" t="s">
        <v>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f t="shared" si="6"/>
        <v>0</v>
      </c>
    </row>
    <row r="74" spans="1:14" s="15" customFormat="1" ht="15">
      <c r="A74" s="10" t="s">
        <v>59</v>
      </c>
      <c r="B74" s="13">
        <f>B82+B88+B76+B90</f>
        <v>9209355.84</v>
      </c>
      <c r="C74" s="13">
        <f aca="true" t="shared" si="7" ref="C74:N74">C82+C88+C76+C90</f>
        <v>8777908.670000002</v>
      </c>
      <c r="D74" s="13">
        <f t="shared" si="7"/>
        <v>8154602.8100000005</v>
      </c>
      <c r="E74" s="13">
        <f t="shared" si="7"/>
        <v>8442317.38</v>
      </c>
      <c r="F74" s="13">
        <f t="shared" si="7"/>
        <v>5139510.05</v>
      </c>
      <c r="G74" s="13">
        <f t="shared" si="7"/>
        <v>5060647.9</v>
      </c>
      <c r="H74" s="13">
        <f t="shared" si="7"/>
        <v>5412261.03</v>
      </c>
      <c r="I74" s="13">
        <f t="shared" si="7"/>
        <v>5749514.91</v>
      </c>
      <c r="J74" s="13">
        <f t="shared" si="7"/>
        <v>5672282.109999999</v>
      </c>
      <c r="K74" s="13">
        <f t="shared" si="7"/>
        <v>8980725.78</v>
      </c>
      <c r="L74" s="13">
        <f t="shared" si="7"/>
        <v>9322933.78</v>
      </c>
      <c r="M74" s="13">
        <f t="shared" si="7"/>
        <v>9018866.8</v>
      </c>
      <c r="N74" s="13">
        <f t="shared" si="7"/>
        <v>88940927.06</v>
      </c>
    </row>
    <row r="75" spans="1:14" s="12" customFormat="1" ht="15">
      <c r="A75" s="16" t="s">
        <v>15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s="12" customFormat="1" ht="15">
      <c r="A76" s="10" t="s">
        <v>79</v>
      </c>
      <c r="B76" s="13">
        <f>SUM(B78:B80)</f>
        <v>1670873.22</v>
      </c>
      <c r="C76" s="13">
        <f aca="true" t="shared" si="8" ref="C76:N76">SUM(C78:C80)</f>
        <v>1540535.46</v>
      </c>
      <c r="D76" s="13">
        <f t="shared" si="8"/>
        <v>1492905.47</v>
      </c>
      <c r="E76" s="13">
        <f t="shared" si="8"/>
        <v>1458510.67</v>
      </c>
      <c r="F76" s="13">
        <f t="shared" si="8"/>
        <v>1623604.5899999999</v>
      </c>
      <c r="G76" s="13">
        <f t="shared" si="8"/>
        <v>1454195.31</v>
      </c>
      <c r="H76" s="13">
        <f t="shared" si="8"/>
        <v>1632920.56</v>
      </c>
      <c r="I76" s="13">
        <f t="shared" si="8"/>
        <v>1649294.87</v>
      </c>
      <c r="J76" s="13">
        <f t="shared" si="8"/>
        <v>1639308.56</v>
      </c>
      <c r="K76" s="13">
        <f t="shared" si="8"/>
        <v>1643749.73</v>
      </c>
      <c r="L76" s="13">
        <f t="shared" si="8"/>
        <v>1645912.92</v>
      </c>
      <c r="M76" s="13">
        <f t="shared" si="8"/>
        <v>1556451.98</v>
      </c>
      <c r="N76" s="13">
        <f t="shared" si="8"/>
        <v>19008263.340000004</v>
      </c>
    </row>
    <row r="77" spans="1:14" s="12" customFormat="1" ht="15">
      <c r="A77" s="16" t="s">
        <v>15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s="12" customFormat="1" ht="15">
      <c r="A78" s="16" t="s">
        <v>81</v>
      </c>
      <c r="B78" s="11">
        <v>1014873.12</v>
      </c>
      <c r="C78" s="11">
        <v>936136.12</v>
      </c>
      <c r="D78" s="11">
        <v>905374.2</v>
      </c>
      <c r="E78" s="11">
        <v>870571.56</v>
      </c>
      <c r="F78" s="11">
        <v>1015572.09</v>
      </c>
      <c r="G78" s="11">
        <v>902212.83</v>
      </c>
      <c r="H78" s="11">
        <v>1012524.27</v>
      </c>
      <c r="I78" s="11">
        <v>1021126.14</v>
      </c>
      <c r="J78" s="11">
        <v>1015748.85</v>
      </c>
      <c r="K78" s="11">
        <v>1020004.06</v>
      </c>
      <c r="L78" s="11">
        <v>976017.81</v>
      </c>
      <c r="M78" s="11">
        <v>924926.24</v>
      </c>
      <c r="N78" s="11">
        <f t="shared" si="6"/>
        <v>11615087.290000001</v>
      </c>
    </row>
    <row r="79" spans="1:14" s="12" customFormat="1" ht="15">
      <c r="A79" s="16" t="s">
        <v>82</v>
      </c>
      <c r="B79" s="11">
        <v>656000.1</v>
      </c>
      <c r="C79" s="11">
        <v>604399.34</v>
      </c>
      <c r="D79" s="11">
        <v>587531.27</v>
      </c>
      <c r="E79" s="11">
        <v>587939.11</v>
      </c>
      <c r="F79" s="11">
        <v>608032.5</v>
      </c>
      <c r="G79" s="11">
        <v>551982.48</v>
      </c>
      <c r="H79" s="11">
        <v>620396.29</v>
      </c>
      <c r="I79" s="11">
        <v>628168.73</v>
      </c>
      <c r="J79" s="11">
        <v>623559.71</v>
      </c>
      <c r="K79" s="11">
        <v>623745.67</v>
      </c>
      <c r="L79" s="11">
        <v>669895.11</v>
      </c>
      <c r="M79" s="11">
        <v>631525.74</v>
      </c>
      <c r="N79" s="11">
        <f t="shared" si="6"/>
        <v>7393176.050000001</v>
      </c>
    </row>
    <row r="80" spans="1:14" s="12" customFormat="1" ht="15">
      <c r="A80" s="16" t="s">
        <v>83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>
        <f t="shared" si="6"/>
        <v>0</v>
      </c>
    </row>
    <row r="81" spans="1:14" s="12" customFormat="1" ht="1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s="15" customFormat="1" ht="15">
      <c r="A82" s="10" t="s">
        <v>80</v>
      </c>
      <c r="B82" s="13">
        <f aca="true" t="shared" si="9" ref="B82:G82">SUM(B84:B86)</f>
        <v>4576836.41</v>
      </c>
      <c r="C82" s="13">
        <f t="shared" si="9"/>
        <v>4576342.300000001</v>
      </c>
      <c r="D82" s="13">
        <f t="shared" si="9"/>
        <v>4239869.03</v>
      </c>
      <c r="E82" s="13">
        <f t="shared" si="9"/>
        <v>4498009.61</v>
      </c>
      <c r="F82" s="13">
        <f t="shared" si="9"/>
        <v>1120844.73</v>
      </c>
      <c r="G82" s="13">
        <f t="shared" si="9"/>
        <v>1317893.65</v>
      </c>
      <c r="H82" s="13">
        <f aca="true" t="shared" si="10" ref="H82:M82">SUM(H84:H86)</f>
        <v>1325729.94</v>
      </c>
      <c r="I82" s="13">
        <f t="shared" si="10"/>
        <v>1346947.65</v>
      </c>
      <c r="J82" s="13">
        <f t="shared" si="10"/>
        <v>1337694.74</v>
      </c>
      <c r="K82" s="13">
        <f t="shared" si="10"/>
        <v>4441355.27</v>
      </c>
      <c r="L82" s="13">
        <f t="shared" si="10"/>
        <v>4846449.359999999</v>
      </c>
      <c r="M82" s="13">
        <f t="shared" si="10"/>
        <v>4602851.53</v>
      </c>
      <c r="N82" s="13">
        <f t="shared" si="6"/>
        <v>38230824.22</v>
      </c>
    </row>
    <row r="83" spans="1:14" s="12" customFormat="1" ht="15">
      <c r="A83" s="16" t="s">
        <v>15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>
        <f t="shared" si="6"/>
        <v>0</v>
      </c>
    </row>
    <row r="84" spans="1:14" s="12" customFormat="1" ht="15">
      <c r="A84" s="16" t="s">
        <v>60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>
        <f t="shared" si="6"/>
        <v>0</v>
      </c>
    </row>
    <row r="85" spans="1:14" s="12" customFormat="1" ht="15">
      <c r="A85" s="16" t="s">
        <v>61</v>
      </c>
      <c r="B85" s="11">
        <v>1159686.89</v>
      </c>
      <c r="C85" s="11">
        <v>1183725.56</v>
      </c>
      <c r="D85" s="11">
        <v>1049402.81</v>
      </c>
      <c r="E85" s="11">
        <v>1064829.47</v>
      </c>
      <c r="F85" s="11">
        <v>1120844.73</v>
      </c>
      <c r="G85" s="11">
        <v>1317893.65</v>
      </c>
      <c r="H85" s="11">
        <v>1325729.94</v>
      </c>
      <c r="I85" s="11">
        <v>1346947.65</v>
      </c>
      <c r="J85" s="11">
        <v>1337694.74</v>
      </c>
      <c r="K85" s="11">
        <v>1323244.99</v>
      </c>
      <c r="L85" s="11">
        <v>1330524.31</v>
      </c>
      <c r="M85" s="11">
        <v>1150884.03</v>
      </c>
      <c r="N85" s="11">
        <f t="shared" si="6"/>
        <v>14711408.770000001</v>
      </c>
    </row>
    <row r="86" spans="1:14" s="12" customFormat="1" ht="15">
      <c r="A86" s="16" t="s">
        <v>62</v>
      </c>
      <c r="B86" s="11">
        <v>3417149.52</v>
      </c>
      <c r="C86" s="11">
        <v>3392616.74</v>
      </c>
      <c r="D86" s="11">
        <v>3190466.22</v>
      </c>
      <c r="E86" s="11">
        <v>3433180.14</v>
      </c>
      <c r="F86" s="11"/>
      <c r="G86" s="11"/>
      <c r="H86" s="11"/>
      <c r="I86" s="11"/>
      <c r="J86" s="11"/>
      <c r="K86" s="11">
        <v>3118110.28</v>
      </c>
      <c r="L86" s="11">
        <v>3515925.05</v>
      </c>
      <c r="M86" s="11">
        <v>3451967.5</v>
      </c>
      <c r="N86" s="11"/>
    </row>
    <row r="87" spans="1:14" s="12" customFormat="1" ht="1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>
        <f aca="true" t="shared" si="11" ref="N87:N113">SUM(B87:M87)</f>
        <v>0</v>
      </c>
    </row>
    <row r="88" spans="1:14" s="15" customFormat="1" ht="15">
      <c r="A88" s="10" t="s">
        <v>23</v>
      </c>
      <c r="B88" s="13">
        <v>568558.93</v>
      </c>
      <c r="C88" s="13">
        <v>568563.66</v>
      </c>
      <c r="D88" s="13">
        <v>568563.66</v>
      </c>
      <c r="E88" s="13">
        <v>568563.66</v>
      </c>
      <c r="F88" s="13">
        <v>568563.66</v>
      </c>
      <c r="G88" s="13">
        <v>568563.69</v>
      </c>
      <c r="H88" s="13">
        <v>568564.35</v>
      </c>
      <c r="I88" s="13">
        <v>566012.8</v>
      </c>
      <c r="J88" s="13">
        <v>568563.78</v>
      </c>
      <c r="K88" s="13">
        <v>568453.3</v>
      </c>
      <c r="L88" s="13">
        <v>568674.27</v>
      </c>
      <c r="M88" s="13">
        <v>568563.78</v>
      </c>
      <c r="N88" s="13">
        <f t="shared" si="11"/>
        <v>6820209.54</v>
      </c>
    </row>
    <row r="89" spans="1:14" s="12" customFormat="1" ht="15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s="12" customFormat="1" ht="15">
      <c r="A90" s="10" t="s">
        <v>86</v>
      </c>
      <c r="B90" s="13">
        <v>2393087.28</v>
      </c>
      <c r="C90" s="13">
        <v>2092467.25</v>
      </c>
      <c r="D90" s="13">
        <v>1853264.65</v>
      </c>
      <c r="E90" s="13">
        <v>1917233.44</v>
      </c>
      <c r="F90" s="13">
        <v>1826497.07</v>
      </c>
      <c r="G90" s="13">
        <v>1719995.25</v>
      </c>
      <c r="H90" s="13">
        <v>1885046.18</v>
      </c>
      <c r="I90" s="13">
        <v>2187259.59</v>
      </c>
      <c r="J90" s="13">
        <v>2126715.03</v>
      </c>
      <c r="K90" s="13">
        <v>2327167.48</v>
      </c>
      <c r="L90" s="13">
        <v>2261897.23</v>
      </c>
      <c r="M90" s="13">
        <v>2290999.51</v>
      </c>
      <c r="N90" s="13">
        <f t="shared" si="11"/>
        <v>24881629.96</v>
      </c>
    </row>
    <row r="91" spans="1:14" s="12" customFormat="1" ht="15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5" s="15" customFormat="1" ht="15">
      <c r="A92" s="1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>
        <f t="shared" si="11"/>
        <v>0</v>
      </c>
      <c r="O92" s="26"/>
    </row>
    <row r="93" spans="1:15" s="15" customFormat="1" ht="15">
      <c r="A93" s="10" t="s">
        <v>63</v>
      </c>
      <c r="B93" s="13">
        <f aca="true" t="shared" si="12" ref="B93:M93">SUM(B95:B108)</f>
        <v>647656.7999999999</v>
      </c>
      <c r="C93" s="13">
        <f t="shared" si="12"/>
        <v>297269.07</v>
      </c>
      <c r="D93" s="13">
        <f t="shared" si="12"/>
        <v>254846.33000000002</v>
      </c>
      <c r="E93" s="13">
        <f t="shared" si="12"/>
        <v>262113.00999999998</v>
      </c>
      <c r="F93" s="13">
        <f t="shared" si="12"/>
        <v>290144.81</v>
      </c>
      <c r="G93" s="13">
        <f t="shared" si="12"/>
        <v>310817.98</v>
      </c>
      <c r="H93" s="13">
        <f t="shared" si="12"/>
        <v>269650.28</v>
      </c>
      <c r="I93" s="13">
        <f t="shared" si="12"/>
        <v>283114.72000000003</v>
      </c>
      <c r="J93" s="13">
        <f t="shared" si="12"/>
        <v>253366.57</v>
      </c>
      <c r="K93" s="13">
        <f t="shared" si="12"/>
        <v>210154.46</v>
      </c>
      <c r="L93" s="13">
        <f t="shared" si="12"/>
        <v>199245.76</v>
      </c>
      <c r="M93" s="13">
        <f t="shared" si="12"/>
        <v>256011.41</v>
      </c>
      <c r="N93" s="13">
        <f t="shared" si="11"/>
        <v>3534391.2</v>
      </c>
      <c r="O93" s="27"/>
    </row>
    <row r="94" spans="1:14" s="12" customFormat="1" ht="15">
      <c r="A94" s="16" t="s">
        <v>15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>
        <f t="shared" si="11"/>
        <v>0</v>
      </c>
    </row>
    <row r="95" spans="1:14" s="28" customFormat="1" ht="15">
      <c r="A95" s="19" t="s">
        <v>39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>
        <v>44625</v>
      </c>
      <c r="N95" s="11">
        <f t="shared" si="11"/>
        <v>44625</v>
      </c>
    </row>
    <row r="96" spans="1:14" s="28" customFormat="1" ht="15">
      <c r="A96" s="19" t="s">
        <v>10</v>
      </c>
      <c r="B96" s="18"/>
      <c r="C96" s="18"/>
      <c r="D96" s="18"/>
      <c r="E96" s="18">
        <v>5720</v>
      </c>
      <c r="F96" s="18"/>
      <c r="G96" s="18">
        <v>1862.13</v>
      </c>
      <c r="H96" s="18"/>
      <c r="I96" s="18"/>
      <c r="J96" s="18"/>
      <c r="K96" s="18"/>
      <c r="L96" s="18"/>
      <c r="M96" s="18"/>
      <c r="N96" s="11">
        <f t="shared" si="11"/>
        <v>7582.13</v>
      </c>
    </row>
    <row r="97" spans="1:14" s="28" customFormat="1" ht="15">
      <c r="A97" s="19" t="s">
        <v>64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>
        <v>2000</v>
      </c>
      <c r="M97" s="18"/>
      <c r="N97" s="11">
        <f t="shared" si="11"/>
        <v>2000</v>
      </c>
    </row>
    <row r="98" spans="1:14" s="28" customFormat="1" ht="26.25">
      <c r="A98" s="17" t="s">
        <v>90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1">
        <f t="shared" si="11"/>
        <v>0</v>
      </c>
    </row>
    <row r="99" spans="1:14" s="28" customFormat="1" ht="15">
      <c r="A99" s="19" t="s">
        <v>65</v>
      </c>
      <c r="B99" s="18"/>
      <c r="C99" s="18"/>
      <c r="D99" s="18">
        <v>1800</v>
      </c>
      <c r="E99" s="18"/>
      <c r="F99" s="18"/>
      <c r="G99" s="18"/>
      <c r="H99" s="18"/>
      <c r="I99" s="18"/>
      <c r="J99" s="18"/>
      <c r="K99" s="18"/>
      <c r="L99" s="18"/>
      <c r="M99" s="18"/>
      <c r="N99" s="11">
        <f t="shared" si="11"/>
        <v>1800</v>
      </c>
    </row>
    <row r="100" spans="1:14" s="28" customFormat="1" ht="15">
      <c r="A100" s="19" t="s">
        <v>88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1">
        <f t="shared" si="11"/>
        <v>0</v>
      </c>
    </row>
    <row r="101" spans="1:14" s="28" customFormat="1" ht="15">
      <c r="A101" s="17" t="s">
        <v>84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1">
        <f t="shared" si="11"/>
        <v>0</v>
      </c>
    </row>
    <row r="102" spans="1:14" s="28" customFormat="1" ht="15">
      <c r="A102" s="19" t="s">
        <v>66</v>
      </c>
      <c r="B102" s="18">
        <v>1358.46</v>
      </c>
      <c r="C102" s="18">
        <v>3859.5</v>
      </c>
      <c r="D102" s="18">
        <v>7111.2</v>
      </c>
      <c r="E102" s="18">
        <v>10243.95</v>
      </c>
      <c r="F102" s="18">
        <v>577.26</v>
      </c>
      <c r="G102" s="18">
        <v>5231.82</v>
      </c>
      <c r="H102" s="18">
        <v>3471.24</v>
      </c>
      <c r="I102" s="18">
        <v>3829.11</v>
      </c>
      <c r="J102" s="18">
        <v>2222.73</v>
      </c>
      <c r="K102" s="18">
        <v>6144.72</v>
      </c>
      <c r="L102" s="18">
        <v>1230.21</v>
      </c>
      <c r="M102" s="18">
        <v>5709.66</v>
      </c>
      <c r="N102" s="11">
        <f t="shared" si="11"/>
        <v>50989.86</v>
      </c>
    </row>
    <row r="103" spans="1:14" s="28" customFormat="1" ht="15">
      <c r="A103" s="19" t="s">
        <v>7</v>
      </c>
      <c r="B103" s="18">
        <v>4821.49</v>
      </c>
      <c r="C103" s="18">
        <v>5681.25</v>
      </c>
      <c r="D103" s="18">
        <v>5695.94</v>
      </c>
      <c r="E103" s="18">
        <v>5824.81</v>
      </c>
      <c r="F103" s="18">
        <v>6715.05</v>
      </c>
      <c r="G103" s="18">
        <v>6227.97</v>
      </c>
      <c r="H103" s="18">
        <v>6929.78</v>
      </c>
      <c r="I103" s="18">
        <v>6007.21</v>
      </c>
      <c r="J103" s="18">
        <v>6372.66</v>
      </c>
      <c r="K103" s="18">
        <v>6074.21</v>
      </c>
      <c r="L103" s="18">
        <v>6421.76</v>
      </c>
      <c r="M103" s="18">
        <v>6979.21</v>
      </c>
      <c r="N103" s="11">
        <f t="shared" si="11"/>
        <v>73751.34000000001</v>
      </c>
    </row>
    <row r="104" spans="1:14" s="28" customFormat="1" ht="15">
      <c r="A104" s="19" t="s">
        <v>67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1">
        <f t="shared" si="11"/>
        <v>0</v>
      </c>
    </row>
    <row r="105" spans="1:14" s="28" customFormat="1" ht="15">
      <c r="A105" s="19" t="s">
        <v>68</v>
      </c>
      <c r="B105" s="18"/>
      <c r="C105" s="18"/>
      <c r="D105" s="18">
        <v>5632.31</v>
      </c>
      <c r="E105" s="18"/>
      <c r="F105" s="18"/>
      <c r="G105" s="18">
        <v>5784.84</v>
      </c>
      <c r="H105" s="18"/>
      <c r="I105" s="18"/>
      <c r="J105" s="18">
        <v>5781.51</v>
      </c>
      <c r="K105" s="18"/>
      <c r="L105" s="18"/>
      <c r="M105" s="18"/>
      <c r="N105" s="11">
        <f t="shared" si="11"/>
        <v>17198.660000000003</v>
      </c>
    </row>
    <row r="106" spans="1:14" s="28" customFormat="1" ht="15">
      <c r="A106" s="19" t="s">
        <v>69</v>
      </c>
      <c r="B106" s="18"/>
      <c r="C106" s="18">
        <v>30000</v>
      </c>
      <c r="D106" s="18"/>
      <c r="E106" s="18"/>
      <c r="F106" s="18"/>
      <c r="G106" s="18"/>
      <c r="H106" s="18"/>
      <c r="I106" s="18"/>
      <c r="J106" s="18">
        <v>3225</v>
      </c>
      <c r="K106" s="18"/>
      <c r="L106" s="18">
        <v>2000</v>
      </c>
      <c r="M106" s="18"/>
      <c r="N106" s="11">
        <f t="shared" si="11"/>
        <v>35225</v>
      </c>
    </row>
    <row r="107" spans="1:14" s="28" customFormat="1" ht="15">
      <c r="A107" s="17" t="s">
        <v>8</v>
      </c>
      <c r="B107" s="18"/>
      <c r="C107" s="18"/>
      <c r="D107" s="18">
        <v>0.41</v>
      </c>
      <c r="E107" s="18">
        <v>673.17</v>
      </c>
      <c r="F107" s="18"/>
      <c r="G107" s="18"/>
      <c r="H107" s="18"/>
      <c r="I107" s="18"/>
      <c r="J107" s="18"/>
      <c r="K107" s="18">
        <v>9.35</v>
      </c>
      <c r="L107" s="18">
        <v>238.14</v>
      </c>
      <c r="M107" s="18">
        <v>197.39</v>
      </c>
      <c r="N107" s="11">
        <f t="shared" si="11"/>
        <v>1118.46</v>
      </c>
    </row>
    <row r="108" spans="1:14" s="28" customFormat="1" ht="15">
      <c r="A108" s="19" t="s">
        <v>26</v>
      </c>
      <c r="B108" s="18">
        <v>641476.85</v>
      </c>
      <c r="C108" s="18">
        <v>257728.32</v>
      </c>
      <c r="D108" s="18">
        <v>234606.47</v>
      </c>
      <c r="E108" s="18">
        <v>239651.08</v>
      </c>
      <c r="F108" s="18">
        <v>282852.5</v>
      </c>
      <c r="G108" s="18">
        <v>291711.22</v>
      </c>
      <c r="H108" s="18">
        <v>259249.26</v>
      </c>
      <c r="I108" s="18">
        <v>273278.4</v>
      </c>
      <c r="J108" s="18">
        <v>235764.67</v>
      </c>
      <c r="K108" s="18">
        <v>197926.18</v>
      </c>
      <c r="L108" s="18">
        <v>187355.65</v>
      </c>
      <c r="M108" s="18">
        <v>198500.15</v>
      </c>
      <c r="N108" s="11">
        <f t="shared" si="11"/>
        <v>3300100.75</v>
      </c>
    </row>
    <row r="109" spans="1:15" s="30" customFormat="1" ht="15">
      <c r="A109" s="22" t="s">
        <v>70</v>
      </c>
      <c r="B109" s="23">
        <f aca="true" t="shared" si="13" ref="B109:M109">B37+B74+B93</f>
        <v>12214563.270000001</v>
      </c>
      <c r="C109" s="23">
        <f t="shared" si="13"/>
        <v>11515120.360000001</v>
      </c>
      <c r="D109" s="23">
        <f t="shared" si="13"/>
        <v>11085376.940000001</v>
      </c>
      <c r="E109" s="23">
        <f t="shared" si="13"/>
        <v>11158674.49</v>
      </c>
      <c r="F109" s="23">
        <f t="shared" si="13"/>
        <v>8215302.100000001</v>
      </c>
      <c r="G109" s="23">
        <f t="shared" si="13"/>
        <v>8216611.890000001</v>
      </c>
      <c r="H109" s="23">
        <f t="shared" si="13"/>
        <v>8354236.800000002</v>
      </c>
      <c r="I109" s="23">
        <f t="shared" si="13"/>
        <v>8739032.160000002</v>
      </c>
      <c r="J109" s="23">
        <f t="shared" si="13"/>
        <v>8587006.87</v>
      </c>
      <c r="K109" s="23">
        <f t="shared" si="13"/>
        <v>11695762.950000001</v>
      </c>
      <c r="L109" s="23">
        <f t="shared" si="13"/>
        <v>12482311.57</v>
      </c>
      <c r="M109" s="23">
        <f t="shared" si="13"/>
        <v>12389284.450000001</v>
      </c>
      <c r="N109" s="23">
        <f t="shared" si="11"/>
        <v>124653283.85000001</v>
      </c>
      <c r="O109" s="29"/>
    </row>
    <row r="110" spans="1:14" s="12" customFormat="1" ht="15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3">
        <f t="shared" si="11"/>
        <v>0</v>
      </c>
    </row>
    <row r="111" spans="1:14" s="24" customFormat="1" ht="15">
      <c r="A111" s="22" t="s">
        <v>71</v>
      </c>
      <c r="B111" s="23">
        <f aca="true" t="shared" si="14" ref="B111:M111">B34-B109</f>
        <v>104229.05999999866</v>
      </c>
      <c r="C111" s="23">
        <f t="shared" si="14"/>
        <v>-28976.22000000067</v>
      </c>
      <c r="D111" s="23">
        <f t="shared" si="14"/>
        <v>9994.109999999404</v>
      </c>
      <c r="E111" s="23">
        <f t="shared" si="14"/>
        <v>478454.86000000127</v>
      </c>
      <c r="F111" s="23">
        <f t="shared" si="14"/>
        <v>32362.049999999814</v>
      </c>
      <c r="G111" s="23">
        <f t="shared" si="14"/>
        <v>-323520.30000000075</v>
      </c>
      <c r="H111" s="23">
        <f t="shared" si="14"/>
        <v>140958.60999999847</v>
      </c>
      <c r="I111" s="23">
        <f t="shared" si="14"/>
        <v>20639.64999999851</v>
      </c>
      <c r="J111" s="23">
        <f t="shared" si="14"/>
        <v>119458.75000000186</v>
      </c>
      <c r="K111" s="23">
        <f t="shared" si="14"/>
        <v>561503.4000000004</v>
      </c>
      <c r="L111" s="23">
        <f t="shared" si="14"/>
        <v>-335601.5600000005</v>
      </c>
      <c r="M111" s="23">
        <f t="shared" si="14"/>
        <v>-247437.3900000006</v>
      </c>
      <c r="N111" s="23">
        <f t="shared" si="11"/>
        <v>532065.0199999958</v>
      </c>
    </row>
    <row r="112" spans="1:14" ht="15">
      <c r="A112" s="16" t="s">
        <v>72</v>
      </c>
      <c r="B112" s="4"/>
      <c r="C112" s="4"/>
      <c r="D112" s="4">
        <v>95860</v>
      </c>
      <c r="E112" s="4"/>
      <c r="F112" s="4"/>
      <c r="G112" s="4">
        <v>99720</v>
      </c>
      <c r="H112" s="4"/>
      <c r="I112" s="4"/>
      <c r="J112" s="4">
        <v>169560</v>
      </c>
      <c r="K112" s="4"/>
      <c r="L112" s="4"/>
      <c r="M112" s="4">
        <v>35972</v>
      </c>
      <c r="N112" s="13">
        <f t="shared" si="11"/>
        <v>401112</v>
      </c>
    </row>
    <row r="113" spans="1:14" ht="15">
      <c r="A113" s="31" t="s">
        <v>73</v>
      </c>
      <c r="B113" s="32">
        <f aca="true" t="shared" si="15" ref="B113:M113">B111-B112</f>
        <v>104229.05999999866</v>
      </c>
      <c r="C113" s="32">
        <f t="shared" si="15"/>
        <v>-28976.22000000067</v>
      </c>
      <c r="D113" s="32">
        <f t="shared" si="15"/>
        <v>-85865.8900000006</v>
      </c>
      <c r="E113" s="32">
        <f t="shared" si="15"/>
        <v>478454.86000000127</v>
      </c>
      <c r="F113" s="32">
        <f t="shared" si="15"/>
        <v>32362.049999999814</v>
      </c>
      <c r="G113" s="32">
        <f t="shared" si="15"/>
        <v>-423240.30000000075</v>
      </c>
      <c r="H113" s="32">
        <f t="shared" si="15"/>
        <v>140958.60999999847</v>
      </c>
      <c r="I113" s="32">
        <f t="shared" si="15"/>
        <v>20639.64999999851</v>
      </c>
      <c r="J113" s="32">
        <f t="shared" si="15"/>
        <v>-50101.24999999814</v>
      </c>
      <c r="K113" s="32">
        <f t="shared" si="15"/>
        <v>561503.4000000004</v>
      </c>
      <c r="L113" s="32">
        <f t="shared" si="15"/>
        <v>-335601.5600000005</v>
      </c>
      <c r="M113" s="32">
        <f t="shared" si="15"/>
        <v>-283409.3900000006</v>
      </c>
      <c r="N113" s="32">
        <f t="shared" si="11"/>
        <v>130953.01999999583</v>
      </c>
    </row>
    <row r="114" spans="1:14" ht="11.25">
      <c r="A114" t="s">
        <v>74</v>
      </c>
      <c r="B114" s="5">
        <f aca="true" t="shared" si="16" ref="B114:N114">(B40+B41)/B7*100</f>
        <v>58.779136899108494</v>
      </c>
      <c r="C114" s="5">
        <f t="shared" si="16"/>
        <v>56.9303964870383</v>
      </c>
      <c r="D114" s="5">
        <f t="shared" si="16"/>
        <v>64.5437806743448</v>
      </c>
      <c r="E114" s="5">
        <f t="shared" si="16"/>
        <v>55.66907905470912</v>
      </c>
      <c r="F114" s="5">
        <f t="shared" si="16"/>
        <v>58.433174906160424</v>
      </c>
      <c r="G114" s="5">
        <f t="shared" si="16"/>
        <v>59.66861470791991</v>
      </c>
      <c r="H114" s="5">
        <f t="shared" si="16"/>
        <v>57.87123092764161</v>
      </c>
      <c r="I114" s="5">
        <f t="shared" si="16"/>
        <v>52.81239287476582</v>
      </c>
      <c r="J114" s="5">
        <f t="shared" si="16"/>
        <v>58.74672703159599</v>
      </c>
      <c r="K114" s="5">
        <f t="shared" si="16"/>
        <v>56.540653517284014</v>
      </c>
      <c r="L114" s="5">
        <f t="shared" si="16"/>
        <v>55.591469285573694</v>
      </c>
      <c r="M114" s="5">
        <f t="shared" si="16"/>
        <v>55.950361397662974</v>
      </c>
      <c r="N114" s="5">
        <f t="shared" si="16"/>
        <v>57.57975519443244</v>
      </c>
    </row>
    <row r="115" spans="1:14" ht="15">
      <c r="A115" s="33" t="s">
        <v>75</v>
      </c>
      <c r="B115" s="5">
        <f aca="true" t="shared" si="17" ref="B115:N115">B113/B7*100</f>
        <v>4.027993987533815</v>
      </c>
      <c r="C115" s="5">
        <f t="shared" si="17"/>
        <v>-1.1148064314301633</v>
      </c>
      <c r="D115" s="5">
        <f t="shared" si="17"/>
        <v>-3.2340411450438387</v>
      </c>
      <c r="E115" s="5">
        <f t="shared" si="17"/>
        <v>17.08139329215987</v>
      </c>
      <c r="F115" s="5">
        <f t="shared" si="17"/>
        <v>1.1822091050622154</v>
      </c>
      <c r="G115" s="5">
        <f t="shared" si="17"/>
        <v>-15.205653570369131</v>
      </c>
      <c r="H115" s="5">
        <f t="shared" si="17"/>
        <v>4.918047429250392</v>
      </c>
      <c r="I115" s="5">
        <f t="shared" si="17"/>
        <v>0.7300658824533783</v>
      </c>
      <c r="J115" s="5">
        <f t="shared" si="17"/>
        <v>-1.7708426523369463</v>
      </c>
      <c r="K115" s="5">
        <f t="shared" si="17"/>
        <v>19.376771169372205</v>
      </c>
      <c r="L115" s="5">
        <f t="shared" si="17"/>
        <v>-11.799948913772127</v>
      </c>
      <c r="M115" s="5">
        <f t="shared" si="17"/>
        <v>-9.830556922002424</v>
      </c>
      <c r="N115" s="5">
        <f t="shared" si="17"/>
        <v>0.3931210473057345</v>
      </c>
    </row>
    <row r="116" spans="1:15" ht="15">
      <c r="A116" s="33" t="s">
        <v>76</v>
      </c>
      <c r="B116" s="5"/>
      <c r="C116" s="5"/>
      <c r="D116" s="5"/>
      <c r="F116" s="5"/>
      <c r="N116" s="5">
        <v>130946.2</v>
      </c>
      <c r="O116" s="34">
        <f>N113-N117-N116</f>
        <v>-4.1763996705412865E-09</v>
      </c>
    </row>
    <row r="117" spans="1:14" s="24" customFormat="1" ht="15">
      <c r="A117" s="22" t="s">
        <v>77</v>
      </c>
      <c r="B117" s="23">
        <f aca="true" t="shared" si="18" ref="B117:M117">SUM(B119:B121)</f>
        <v>0</v>
      </c>
      <c r="C117" s="23">
        <f t="shared" si="18"/>
        <v>0</v>
      </c>
      <c r="D117" s="23">
        <f t="shared" si="18"/>
        <v>0</v>
      </c>
      <c r="E117" s="23">
        <f t="shared" si="18"/>
        <v>0</v>
      </c>
      <c r="F117" s="23">
        <f t="shared" si="18"/>
        <v>0</v>
      </c>
      <c r="G117" s="23">
        <f t="shared" si="18"/>
        <v>0</v>
      </c>
      <c r="H117" s="23">
        <f t="shared" si="18"/>
        <v>0</v>
      </c>
      <c r="I117" s="23">
        <f t="shared" si="18"/>
        <v>0</v>
      </c>
      <c r="J117" s="23">
        <f t="shared" si="18"/>
        <v>6.82</v>
      </c>
      <c r="K117" s="23">
        <f t="shared" si="18"/>
        <v>0</v>
      </c>
      <c r="L117" s="23">
        <f t="shared" si="18"/>
        <v>0</v>
      </c>
      <c r="M117" s="23">
        <f t="shared" si="18"/>
        <v>0</v>
      </c>
      <c r="N117" s="23">
        <f>SUM(B117:M117)</f>
        <v>6.82</v>
      </c>
    </row>
    <row r="118" spans="1:14" ht="15">
      <c r="A118" s="3" t="s">
        <v>15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1">
        <f>SUM(B118:M118)</f>
        <v>0</v>
      </c>
    </row>
    <row r="119" spans="1:14" ht="15">
      <c r="A119" s="3" t="s">
        <v>39</v>
      </c>
      <c r="B119" s="4"/>
      <c r="C119" s="4"/>
      <c r="D119" s="4"/>
      <c r="E119" s="4"/>
      <c r="F119" s="4"/>
      <c r="G119" s="4"/>
      <c r="H119" s="4"/>
      <c r="I119" s="4"/>
      <c r="J119" s="4">
        <v>6.82</v>
      </c>
      <c r="K119" s="4"/>
      <c r="L119" s="4"/>
      <c r="M119" s="4"/>
      <c r="N119" s="11">
        <f>SUM(B119:M119)</f>
        <v>6.82</v>
      </c>
    </row>
    <row r="120" spans="1:14" ht="1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1">
        <f>SUM(B120:M120)</f>
        <v>0</v>
      </c>
    </row>
    <row r="121" spans="1:14" ht="1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1">
        <f>SUM(B121:M121)</f>
        <v>0</v>
      </c>
    </row>
  </sheetData>
  <sheetProtection password="CC5F" sheet="1" objects="1" scenarios="1" selectLockedCells="1" selectUnlockedCells="1"/>
  <mergeCells count="1">
    <mergeCell ref="J3:J4"/>
  </mergeCells>
  <printOptions/>
  <pageMargins left="0.9402777777777778" right="0.19652777777777777" top="0.7479166666666667" bottom="0.7479166666666667" header="0.5118055555555555" footer="0.511805555555555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2016-03-30T09:16:25Z</dcterms:created>
  <dcterms:modified xsi:type="dcterms:W3CDTF">2016-03-31T12:36:46Z</dcterms:modified>
  <cp:category/>
  <cp:version/>
  <cp:contentType/>
  <cp:contentStatus/>
</cp:coreProperties>
</file>