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18" sheetId="46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18'!$A$1:$H$107</definedName>
  </definedNames>
  <calcPr calcId="124519"/>
</workbook>
</file>

<file path=xl/calcChain.xml><?xml version="1.0" encoding="utf-8"?>
<calcChain xmlns="http://schemas.openxmlformats.org/spreadsheetml/2006/main">
  <c r="H40" i="46"/>
  <c r="H67"/>
  <c r="H34"/>
  <c r="H70"/>
  <c r="H54"/>
  <c r="H43"/>
  <c r="H42"/>
  <c r="H44"/>
  <c r="H69"/>
  <c r="H35"/>
  <c r="H74"/>
  <c r="H55"/>
  <c r="H68"/>
  <c r="H36"/>
  <c r="H47"/>
  <c r="H78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9" i="46"/>
  <c r="H75" i="53"/>
  <c r="H75" i="54"/>
  <c r="H71" i="55"/>
  <c r="H78" i="56"/>
  <c r="H65" i="57"/>
  <c r="H75" i="58"/>
  <c r="H79" i="59"/>
  <c r="H78" i="60"/>
  <c r="H69" i="30"/>
  <c r="H78" i="31"/>
  <c r="H74" s="1"/>
  <c r="H56" i="46"/>
  <c r="F98"/>
  <c r="K66"/>
  <c r="H71"/>
  <c r="H66" s="1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4" i="46"/>
  <c r="H91" i="60"/>
  <c r="H85" i="32"/>
  <c r="H92" i="31"/>
  <c r="H91" i="59"/>
  <c r="H87" i="58"/>
  <c r="H77" i="57"/>
  <c r="H90" i="56"/>
  <c r="H83" i="55"/>
  <c r="H87" i="54"/>
  <c r="H87" i="53"/>
  <c r="H91" i="46"/>
  <c r="H90" i="60"/>
  <c r="H84" i="32"/>
  <c r="H91" i="31"/>
  <c r="H90" i="59"/>
  <c r="H86" i="58"/>
  <c r="H76" i="57"/>
  <c r="H89" i="56"/>
  <c r="H82" i="55"/>
  <c r="H86" i="54"/>
  <c r="H86" i="53"/>
  <c r="H90" i="46"/>
  <c r="H89" i="60"/>
  <c r="H83" i="32"/>
  <c r="H90" i="31"/>
  <c r="H89" i="59"/>
  <c r="H85" i="58"/>
  <c r="H75" i="57"/>
  <c r="H88" i="56"/>
  <c r="H81" i="55"/>
  <c r="H85" i="54"/>
  <c r="H85" i="53"/>
  <c r="H89" i="46"/>
  <c r="H88" i="60"/>
  <c r="H82" i="32"/>
  <c r="H89" i="31"/>
  <c r="H88" i="59"/>
  <c r="H84" i="58"/>
  <c r="H74" i="57"/>
  <c r="H87" i="56"/>
  <c r="H80" i="55"/>
  <c r="H84" i="54"/>
  <c r="H84" i="53"/>
  <c r="H88" i="46"/>
  <c r="H87" i="60"/>
  <c r="H81" i="32"/>
  <c r="H88" i="31"/>
  <c r="H87" i="59"/>
  <c r="H83" i="58"/>
  <c r="H73" i="57"/>
  <c r="H86" i="56"/>
  <c r="H79" i="55"/>
  <c r="H83" i="54"/>
  <c r="H83" i="53"/>
  <c r="H87" i="46"/>
  <c r="H86" i="60"/>
  <c r="H80" i="32"/>
  <c r="H87" i="31"/>
  <c r="H86" i="59"/>
  <c r="H82" i="58"/>
  <c r="H72" i="57"/>
  <c r="H85" i="56"/>
  <c r="H78" i="55"/>
  <c r="H82" i="54"/>
  <c r="H82" i="53"/>
  <c r="H86" i="46"/>
  <c r="H84" i="60"/>
  <c r="H79" i="32"/>
  <c r="H86" i="31"/>
  <c r="H85" i="59"/>
  <c r="H81" i="58"/>
  <c r="H71" i="57"/>
  <c r="H84" i="56"/>
  <c r="H77" i="55"/>
  <c r="H81" i="54"/>
  <c r="H81" i="53"/>
  <c r="H85" i="46"/>
  <c r="H82" i="60"/>
  <c r="H77" i="32"/>
  <c r="H84" i="31"/>
  <c r="H83" i="59"/>
  <c r="H79" i="58"/>
  <c r="H69" i="57"/>
  <c r="H82" i="56"/>
  <c r="H75" i="55"/>
  <c r="H79" i="54"/>
  <c r="H79" i="53"/>
  <c r="H83" i="46"/>
  <c r="H81" i="60"/>
  <c r="H76" i="32"/>
  <c r="H83" i="31"/>
  <c r="H82" i="59"/>
  <c r="H78" i="58"/>
  <c r="H68" i="57"/>
  <c r="H81" i="56"/>
  <c r="H74" i="55"/>
  <c r="H78" i="54"/>
  <c r="H78" i="53"/>
  <c r="H82" i="46"/>
  <c r="H80" i="60"/>
  <c r="H75" i="32"/>
  <c r="H82" i="31"/>
  <c r="H81" i="59"/>
  <c r="H77" i="58"/>
  <c r="H67" i="57"/>
  <c r="H80" i="56"/>
  <c r="H73" i="55"/>
  <c r="H77" i="54"/>
  <c r="H77" i="53"/>
  <c r="H81" i="46"/>
  <c r="H79" i="60"/>
  <c r="H80" i="59"/>
  <c r="H76" i="58"/>
  <c r="H66" i="57"/>
  <c r="H79" i="56"/>
  <c r="H72" i="55"/>
  <c r="H76" i="54"/>
  <c r="H76" i="53"/>
  <c r="H80" i="46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7" i="46"/>
  <c r="H72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  <c r="H64" i="46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<sst xmlns="http://schemas.openxmlformats.org/spreadsheetml/2006/main" count="1524" uniqueCount="380">
  <si>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</si>
  <si>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</si>
  <si>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</si>
  <si>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</si>
  <si>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</si>
  <si>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</si>
  <si>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</si>
  <si>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</si>
  <si>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</si>
  <si>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</si>
  <si>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</si>
  <si>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</si>
  <si>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</si>
  <si>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</si>
  <si>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</si>
  <si>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</si>
  <si>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</si>
  <si>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</si>
  <si>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</si>
  <si>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</si>
  <si>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</si>
  <si>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</si>
  <si>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</si>
  <si>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</si>
  <si>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</si>
  <si>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</si>
  <si>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</si>
  <si>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</si>
  <si>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</si>
  <si>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</si>
  <si>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</si>
  <si>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</si>
  <si>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</si>
  <si>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</si>
  <si>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</si>
  <si>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</si>
  <si>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</si>
  <si>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</si>
  <si>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</si>
  <si>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</si>
  <si>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</si>
  <si>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</si>
  <si>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</si>
  <si>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</si>
  <si>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</si>
  <si>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</si>
  <si>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</si>
  <si>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</si>
  <si>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</si>
  <si>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</si>
  <si>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</si>
  <si>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</si>
  <si>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</si>
  <si>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</si>
  <si>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</si>
  <si>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</si>
  <si>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</si>
  <si>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</si>
  <si>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</si>
  <si>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</si>
  <si>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</si>
  <si>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</si>
  <si>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</si>
  <si>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</si>
  <si>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</si>
  <si>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</si>
  <si>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</si>
  <si>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</si>
  <si>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</si>
  <si>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</si>
  <si>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</si>
  <si>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</si>
  <si>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</si>
  <si>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</si>
  <si>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</si>
  <si>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</si>
  <si>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</si>
  <si>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</si>
  <si>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</si>
  <si>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</si>
  <si>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</si>
  <si>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</si>
  <si>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</si>
  <si>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</si>
  <si>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</si>
  <si>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</si>
  <si>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</si>
  <si>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</si>
  <si>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</si>
  <si>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</si>
  <si>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</si>
  <si>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</si>
  <si>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</si>
  <si>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</si>
  <si>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</si>
  <si>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</si>
  <si>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</si>
  <si>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</si>
  <si>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</si>
  <si>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</si>
  <si>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</si>
  <si>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</si>
  <si>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</si>
  <si>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</si>
  <si>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</si>
  <si>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</si>
  <si>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</si>
  <si>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</si>
  <si>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</si>
  <si>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</si>
  <si>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</si>
  <si>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</si>
  <si>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</si>
  <si>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</si>
  <si>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18 </t>
  </si>
  <si>
    <t>Площадь подъезда - 1295 кв. м</t>
  </si>
  <si>
    <t>Площадь газона - 256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</si>
  <si>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</si>
  <si>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</si>
  <si>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</si>
  <si>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</si>
  <si>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</si>
  <si>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</si>
  <si>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</si>
  <si>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</si>
  <si>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</si>
  <si>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</si>
  <si>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</si>
  <si>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</si>
  <si>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</si>
  <si>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</si>
  <si>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</si>
  <si>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</si>
  <si>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</si>
  <si>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</si>
  <si>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</si>
  <si>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</si>
  <si>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</si>
  <si>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</si>
  <si>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</si>
  <si>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</si>
  <si>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</si>
  <si>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</si>
  <si>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</si>
  <si>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</si>
  <si>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</si>
  <si>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</si>
  <si>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</si>
  <si>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</si>
  <si>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</si>
  <si>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</si>
  <si>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</si>
  <si>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</si>
  <si>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</si>
  <si>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</si>
  <si>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</si>
  <si>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</si>
  <si>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</si>
  <si>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</si>
  <si>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</si>
  <si>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</si>
  <si>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</si>
  <si>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</si>
  <si>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</si>
  <si>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</si>
  <si>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</si>
  <si>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</si>
  <si>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</si>
  <si>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</si>
  <si>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</si>
  <si>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</si>
  <si>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</si>
  <si>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</si>
  <si>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</si>
  <si>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</si>
  <si>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</si>
  <si>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</si>
  <si>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</si>
  <si>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</si>
  <si>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</si>
  <si>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</si>
  <si>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</si>
  <si>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</si>
  <si>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</si>
  <si>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</si>
  <si>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</si>
  <si>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</si>
  <si>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</si>
  <si>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</si>
  <si>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</si>
  <si>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</si>
  <si>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</si>
  <si>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</si>
  <si>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</si>
  <si>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</si>
  <si>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</si>
  <si>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</si>
  <si>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№18 по ул.Садовая</t>
  </si>
  <si>
    <t>ул.Садовая д.18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</si>
  <si>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</si>
  <si>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</si>
  <si>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</si>
  <si>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</si>
  <si>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</si>
  <si>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</si>
  <si>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</si>
  <si>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</si>
  <si>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</si>
  <si>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</si>
  <si>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</si>
  <si>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</si>
  <si>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</si>
  <si>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</si>
  <si>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</si>
  <si>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</si>
  <si>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</si>
  <si>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</si>
  <si>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</si>
  <si>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</si>
  <si>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</si>
  <si>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</si>
  <si>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</si>
  <si>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</si>
  <si>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</si>
  <si>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</si>
  <si>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</si>
  <si>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</si>
  <si>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</si>
  <si>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</si>
  <si>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</si>
  <si>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</si>
  <si>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</si>
  <si>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</si>
  <si>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</si>
  <si>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</si>
  <si>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</si>
  <si>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</si>
  <si>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</si>
  <si>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</si>
  <si>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</si>
  <si>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</si>
  <si>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</si>
  <si>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</si>
  <si>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</si>
  <si>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</si>
  <si>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</si>
  <si>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</si>
  <si>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</si>
  <si>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</si>
  <si>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</si>
  <si>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</si>
  <si>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</si>
  <si>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</si>
  <si>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</si>
  <si>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</si>
  <si>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</si>
  <si>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</si>
  <si>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</si>
  <si>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</si>
  <si>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</si>
  <si>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</si>
  <si>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</si>
  <si>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</si>
  <si>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</si>
  <si>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</si>
  <si>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</si>
  <si>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</si>
  <si>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</si>
  <si>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Общая площадь квартир -9235,70 кв.м.</t>
  </si>
  <si>
    <t>Общая площадь дома - 11756,70 кв. м</t>
  </si>
  <si>
    <t>Доходы полученные от размещения рекламы и предоставления места под аренду в многоквартирном доме №18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</si>
  <si>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</si>
  <si>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</si>
  <si>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</si>
  <si>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</si>
  <si>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</si>
  <si>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</si>
  <si>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</si>
  <si>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</si>
  <si>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</si>
  <si>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</si>
  <si>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</si>
  <si>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</si>
  <si>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</si>
  <si>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</si>
  <si>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</si>
  <si>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</si>
  <si>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</si>
  <si>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</si>
  <si>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</si>
  <si>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</si>
  <si>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</si>
  <si>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</si>
  <si>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</si>
  <si>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</si>
  <si>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</si>
  <si>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</si>
  <si>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</si>
  <si>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</si>
  <si>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</si>
  <si>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</si>
  <si>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</si>
  <si>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</si>
  <si>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</si>
  <si>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</si>
  <si>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</si>
  <si>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</si>
  <si>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</si>
  <si>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</si>
  <si>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</si>
  <si>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</si>
  <si>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</si>
  <si>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</si>
  <si>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№18 по ул.Садовая за 2017г.</t>
  </si>
  <si>
    <t>В ходе плановых осмотров, а также на основании обращений собственников помещений жилого дома №18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</si>
  <si>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</si>
  <si>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</si>
  <si>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</si>
  <si>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</si>
  <si>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</si>
  <si>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</si>
  <si>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</si>
  <si>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</si>
  <si>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</si>
  <si>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</si>
  <si>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</si>
  <si>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</si>
  <si>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</si>
  <si>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</si>
  <si>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</si>
  <si>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</si>
  <si>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</si>
  <si>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</si>
  <si>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</si>
  <si>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</si>
  <si>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</si>
  <si>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</si>
  <si>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</si>
  <si>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</si>
  <si>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</si>
  <si>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</si>
  <si>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</si>
  <si>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</si>
  <si>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</si>
  <si>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</si>
  <si>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</si>
  <si>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</si>
  <si>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</si>
  <si>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</si>
  <si>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</si>
  <si>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</si>
  <si>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</si>
  <si>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</si>
  <si>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</si>
  <si>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</si>
  <si>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</si>
  <si>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</si>
  <si>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</si>
  <si>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</si>
  <si>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</si>
  <si>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</si>
  <si>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</si>
  <si>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Бестраншейная замена трубопровода</t>
  </si>
  <si>
    <t>ИП Мезенцев</t>
  </si>
  <si>
    <t>Замена светильник</t>
  </si>
  <si>
    <t>Установка скамейки парковой,мусорного клапана</t>
  </si>
  <si>
    <t>Смена доводчика,стальная ограда,мусорный клапан,колеса для контейнера</t>
  </si>
  <si>
    <t xml:space="preserve">ИП Дурнев 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</si>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</sst>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8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28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8" fillId="0" borderId="1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2" fontId="40" fillId="0" borderId="0" xfId="0" applyNumberFormat="1" applyFont="1" applyBorder="1"/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4"/>
      <c r="E1" s="44"/>
      <c r="F1" s="130"/>
      <c r="G1" s="131"/>
      <c r="H1" s="131"/>
      <c r="I1" s="132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5"/>
      <c r="F2" s="133"/>
      <c r="G2" s="134"/>
      <c r="H2" s="135"/>
      <c r="I2" s="136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5"/>
      <c r="F3" s="133"/>
      <c r="G3" s="44"/>
      <c r="H3" s="135"/>
      <c r="I3" s="136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5"/>
      <c r="F4" s="133"/>
      <c r="G4" s="44"/>
      <c r="H4" s="135"/>
      <c r="I4" s="136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5"/>
      <c r="F5" s="133"/>
      <c r="G5" s="44"/>
      <c r="H5" s="135"/>
      <c r="I5" s="136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5"/>
      <c r="F6" s="137"/>
      <c r="G6" s="44"/>
      <c r="H6" s="135"/>
      <c r="I6" s="136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5"/>
      <c r="F7" s="133"/>
      <c r="G7" s="44"/>
      <c r="H7" s="135"/>
      <c r="I7" s="136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5"/>
      <c r="F8" s="133"/>
      <c r="G8" s="44"/>
      <c r="H8" s="135"/>
      <c r="I8" s="136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5"/>
      <c r="F9" s="133"/>
      <c r="G9" s="44"/>
      <c r="H9" s="135"/>
      <c r="I9" s="136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5"/>
      <c r="F10" s="133"/>
      <c r="G10" s="44"/>
      <c r="H10" s="135"/>
      <c r="I10" s="136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5"/>
      <c r="F11" s="133"/>
      <c r="G11" s="44"/>
      <c r="H11" s="135"/>
      <c r="I11" s="136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5"/>
      <c r="F12" s="133"/>
      <c r="G12" s="44"/>
      <c r="H12" s="135"/>
      <c r="I12" s="136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5"/>
      <c r="F13" s="133"/>
      <c r="G13" s="44"/>
      <c r="H13" s="135"/>
      <c r="I13" s="136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5"/>
      <c r="F14" s="44"/>
      <c r="G14" s="138"/>
      <c r="H14" s="135"/>
      <c r="I14" s="136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5"/>
      <c r="F15" s="133"/>
      <c r="G15" s="44"/>
      <c r="H15" s="135"/>
      <c r="I15" s="136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5"/>
      <c r="F16" s="133"/>
      <c r="G16" s="139"/>
      <c r="H16" s="135"/>
      <c r="I16" s="136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5"/>
      <c r="F17" s="137"/>
      <c r="G17" s="140"/>
      <c r="H17" s="135"/>
      <c r="I17" s="136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5"/>
      <c r="F18" s="137"/>
      <c r="G18" s="140"/>
      <c r="H18" s="135"/>
      <c r="I18" s="136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5"/>
      <c r="F19" s="137"/>
      <c r="G19" s="140"/>
      <c r="H19" s="135"/>
      <c r="I19" s="141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5"/>
      <c r="F20" s="130"/>
      <c r="G20" s="142"/>
      <c r="H20" s="143"/>
      <c r="I20" s="132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5"/>
    </row>
    <row r="22" spans="1:10">
      <c r="A22" s="10">
        <v>21</v>
      </c>
      <c r="B22" s="10" t="s">
        <v>54</v>
      </c>
      <c r="C22" s="27">
        <v>6168.9</v>
      </c>
      <c r="D22" s="44"/>
      <c r="E22" s="145"/>
    </row>
    <row r="23" spans="1:10">
      <c r="A23" s="10">
        <v>22</v>
      </c>
      <c r="B23" s="10" t="s">
        <v>55</v>
      </c>
      <c r="C23" s="27">
        <v>8664.9</v>
      </c>
      <c r="D23" s="44"/>
      <c r="E23" s="145"/>
    </row>
    <row r="24" spans="1:10">
      <c r="A24" s="10">
        <v>23</v>
      </c>
      <c r="B24" s="10" t="s">
        <v>56</v>
      </c>
      <c r="C24" s="27">
        <v>6313.24</v>
      </c>
      <c r="D24" s="44"/>
      <c r="E24" s="145"/>
    </row>
    <row r="25" spans="1:10">
      <c r="A25" s="10">
        <v>24</v>
      </c>
      <c r="B25" s="10" t="s">
        <v>57</v>
      </c>
      <c r="C25" s="27">
        <v>6413.8</v>
      </c>
      <c r="D25" s="44"/>
      <c r="E25" s="145"/>
    </row>
    <row r="26" spans="1:10">
      <c r="A26" s="10">
        <v>25</v>
      </c>
      <c r="B26" s="10" t="s">
        <v>58</v>
      </c>
      <c r="C26" s="27">
        <v>4233.8999999999996</v>
      </c>
      <c r="D26" s="44"/>
      <c r="E26" s="145"/>
    </row>
    <row r="27" spans="1:10">
      <c r="A27" s="10">
        <v>26</v>
      </c>
      <c r="B27" s="10" t="s">
        <v>59</v>
      </c>
      <c r="C27" s="27">
        <v>6293.5</v>
      </c>
      <c r="D27" s="44"/>
      <c r="E27" s="145"/>
    </row>
    <row r="28" spans="1:10">
      <c r="A28" s="10">
        <v>27</v>
      </c>
      <c r="B28" s="10" t="s">
        <v>60</v>
      </c>
      <c r="C28" s="27">
        <v>3636.5</v>
      </c>
      <c r="D28" s="44"/>
      <c r="E28" s="145"/>
    </row>
    <row r="29" spans="1:10">
      <c r="A29" s="10">
        <v>28</v>
      </c>
      <c r="B29" s="10" t="s">
        <v>61</v>
      </c>
      <c r="C29" s="27">
        <v>5513.4</v>
      </c>
      <c r="D29" s="44"/>
      <c r="E29" s="145"/>
    </row>
    <row r="30" spans="1:10">
      <c r="A30" s="10">
        <v>29</v>
      </c>
      <c r="B30" s="10" t="s">
        <v>62</v>
      </c>
      <c r="C30" s="27">
        <v>6302</v>
      </c>
      <c r="D30" s="44"/>
      <c r="E30" s="145"/>
    </row>
    <row r="31" spans="1:10">
      <c r="A31" s="10">
        <v>30</v>
      </c>
      <c r="B31" s="10" t="s">
        <v>63</v>
      </c>
      <c r="C31" s="27">
        <v>4220.18</v>
      </c>
      <c r="D31" s="44"/>
      <c r="E31" s="145"/>
    </row>
    <row r="32" spans="1:10">
      <c r="A32" s="10">
        <v>31</v>
      </c>
      <c r="B32" s="10" t="s">
        <v>33</v>
      </c>
      <c r="C32" s="27">
        <v>6255.95</v>
      </c>
      <c r="D32" s="44"/>
      <c r="E32" s="145"/>
    </row>
    <row r="33" spans="1:15">
      <c r="A33" s="10"/>
      <c r="B33" s="13" t="s">
        <v>14</v>
      </c>
      <c r="C33" s="28">
        <f>SUM(C2:C32)</f>
        <v>216566.39999999997</v>
      </c>
      <c r="D33" s="130"/>
      <c r="E33" s="146"/>
    </row>
    <row r="34" spans="1:15" ht="31.5">
      <c r="E34" s="173" t="s">
        <v>4</v>
      </c>
      <c r="F34" s="159" t="s">
        <v>31</v>
      </c>
      <c r="G34" s="160" t="s">
        <v>118</v>
      </c>
      <c r="H34" s="160" t="s">
        <v>119</v>
      </c>
      <c r="I34" s="161" t="s">
        <v>120</v>
      </c>
      <c r="J34" s="162"/>
      <c r="K34" s="162"/>
      <c r="L34" s="162"/>
      <c r="M34" s="162"/>
    </row>
    <row r="35" spans="1:15" ht="15.75">
      <c r="E35" s="163">
        <v>1</v>
      </c>
      <c r="F35" s="174" t="s">
        <v>8</v>
      </c>
      <c r="G35" s="165">
        <v>1668518</v>
      </c>
      <c r="H35" s="166">
        <f>G35/I35</f>
        <v>7.704417675133354</v>
      </c>
      <c r="I35" s="176">
        <v>216566.39999999999</v>
      </c>
      <c r="J35" s="173">
        <v>492336</v>
      </c>
      <c r="K35" s="177">
        <f>J35/I35</f>
        <v>2.273372046633273</v>
      </c>
      <c r="L35" s="165">
        <f>G35+J35</f>
        <v>2160854</v>
      </c>
      <c r="M35" s="173"/>
    </row>
    <row r="36" spans="1:15" ht="31.5">
      <c r="E36" s="163">
        <v>2</v>
      </c>
      <c r="F36" s="175" t="s">
        <v>131</v>
      </c>
      <c r="G36" s="165">
        <f>N36+L36+J36+2213903</f>
        <v>2827503</v>
      </c>
      <c r="H36" s="166">
        <f t="shared" ref="H36:H50" si="0">G36/I36</f>
        <v>13.056055787047299</v>
      </c>
      <c r="I36" s="176">
        <v>216566.39999999999</v>
      </c>
      <c r="J36" s="173">
        <v>235000</v>
      </c>
      <c r="K36" s="177">
        <f>J36/I36</f>
        <v>1.0851175436263427</v>
      </c>
      <c r="L36" s="173">
        <v>153000</v>
      </c>
      <c r="M36" s="177">
        <f>L36/I36</f>
        <v>0.70648078372268275</v>
      </c>
      <c r="N36" s="173">
        <v>225600</v>
      </c>
      <c r="O36" s="177">
        <f>N36/I36</f>
        <v>1.0417128418812891</v>
      </c>
    </row>
    <row r="37" spans="1:15" ht="15.75">
      <c r="E37" s="163">
        <v>3</v>
      </c>
      <c r="F37" s="164" t="s">
        <v>125</v>
      </c>
      <c r="G37" s="165">
        <v>0</v>
      </c>
      <c r="H37" s="166">
        <f t="shared" si="0"/>
        <v>0</v>
      </c>
      <c r="I37" s="167">
        <v>216566.39999999999</v>
      </c>
      <c r="J37" s="162"/>
      <c r="K37" s="162"/>
      <c r="L37" s="162"/>
      <c r="M37" s="162"/>
    </row>
    <row r="38" spans="1:15" ht="15.75">
      <c r="E38" s="163">
        <v>4</v>
      </c>
      <c r="F38" s="174" t="s">
        <v>10</v>
      </c>
      <c r="G38" s="165">
        <v>1657195</v>
      </c>
      <c r="H38" s="166">
        <f t="shared" si="0"/>
        <v>7.6521334796164133</v>
      </c>
      <c r="I38" s="167">
        <v>216566.39999999999</v>
      </c>
      <c r="J38" s="162"/>
      <c r="K38" s="162"/>
      <c r="L38" s="162"/>
      <c r="M38" s="162"/>
    </row>
    <row r="39" spans="1:15" ht="15.75">
      <c r="E39" s="163">
        <v>5</v>
      </c>
      <c r="F39" s="174" t="s">
        <v>127</v>
      </c>
      <c r="G39" s="165">
        <v>0</v>
      </c>
      <c r="H39" s="166">
        <f t="shared" si="0"/>
        <v>0</v>
      </c>
      <c r="I39" s="167">
        <v>216566.39999999999</v>
      </c>
      <c r="J39" s="162"/>
      <c r="K39" s="162"/>
      <c r="L39" s="162"/>
      <c r="M39" s="162"/>
      <c r="O39" s="177"/>
    </row>
    <row r="40" spans="1:15" ht="15.75">
      <c r="E40" s="163">
        <v>6</v>
      </c>
      <c r="F40" s="174" t="s">
        <v>123</v>
      </c>
      <c r="G40" s="165">
        <v>5706504</v>
      </c>
      <c r="H40" s="166">
        <f t="shared" si="0"/>
        <v>26.349904694357019</v>
      </c>
      <c r="I40" s="167">
        <v>216566.39999999999</v>
      </c>
      <c r="J40" s="162"/>
      <c r="K40" s="162"/>
      <c r="L40" s="162"/>
      <c r="M40" s="162"/>
    </row>
    <row r="41" spans="1:15" ht="15.75">
      <c r="E41" s="163">
        <v>7</v>
      </c>
      <c r="F41" s="174" t="s">
        <v>126</v>
      </c>
      <c r="G41" s="165">
        <v>398412</v>
      </c>
      <c r="H41" s="166">
        <f t="shared" si="0"/>
        <v>1.839675960813866</v>
      </c>
      <c r="I41" s="167">
        <v>216566.39999999999</v>
      </c>
      <c r="J41" s="162"/>
      <c r="K41" s="162"/>
      <c r="L41" s="162"/>
      <c r="M41" s="162"/>
    </row>
    <row r="42" spans="1:15" ht="15.75">
      <c r="E42" s="163">
        <v>8</v>
      </c>
      <c r="F42" s="174" t="s">
        <v>12</v>
      </c>
      <c r="G42" s="165">
        <v>2731647</v>
      </c>
      <c r="H42" s="166">
        <f t="shared" si="0"/>
        <v>12.613438649762845</v>
      </c>
      <c r="I42" s="167">
        <v>216566.39999999999</v>
      </c>
      <c r="J42" s="162"/>
      <c r="K42" s="162"/>
      <c r="L42" s="162"/>
      <c r="M42" s="162"/>
    </row>
    <row r="43" spans="1:15" ht="31.5">
      <c r="E43" s="163">
        <v>9</v>
      </c>
      <c r="F43" s="174" t="s">
        <v>132</v>
      </c>
      <c r="G43" s="168">
        <v>6811268</v>
      </c>
      <c r="H43" s="166">
        <f t="shared" si="0"/>
        <v>31.451176175066863</v>
      </c>
      <c r="I43" s="167">
        <v>216566.39999999999</v>
      </c>
      <c r="J43" s="162"/>
      <c r="K43" s="162"/>
      <c r="L43" s="162"/>
      <c r="M43" s="162"/>
    </row>
    <row r="44" spans="1:15" ht="15.75">
      <c r="E44" s="163">
        <v>10</v>
      </c>
      <c r="F44" s="174" t="s">
        <v>133</v>
      </c>
      <c r="G44" s="165">
        <f>30300+723321+659600</f>
        <v>1413221</v>
      </c>
      <c r="H44" s="166">
        <f t="shared" si="0"/>
        <v>6.5255782983879307</v>
      </c>
      <c r="I44" s="167">
        <v>216566.39999999999</v>
      </c>
      <c r="J44" s="162"/>
      <c r="K44" s="162"/>
      <c r="L44" s="162"/>
      <c r="M44" s="162"/>
    </row>
    <row r="45" spans="1:15" ht="15.75">
      <c r="E45" s="163">
        <v>11</v>
      </c>
      <c r="F45" s="174" t="s">
        <v>124</v>
      </c>
      <c r="G45" s="165">
        <v>236680</v>
      </c>
      <c r="H45" s="166">
        <f t="shared" si="0"/>
        <v>1.0928749796829056</v>
      </c>
      <c r="I45" s="167">
        <v>216566.39999999999</v>
      </c>
      <c r="J45" s="162"/>
      <c r="K45" s="162"/>
      <c r="L45" s="162"/>
      <c r="M45" s="162"/>
    </row>
    <row r="46" spans="1:15" ht="15.75">
      <c r="E46" s="163">
        <v>12</v>
      </c>
      <c r="F46" s="174" t="s">
        <v>135</v>
      </c>
      <c r="G46" s="165">
        <v>386837</v>
      </c>
      <c r="H46" s="166">
        <f t="shared" si="0"/>
        <v>1.7862281498884407</v>
      </c>
      <c r="I46" s="167">
        <v>216566.39999999999</v>
      </c>
      <c r="J46" s="162"/>
      <c r="K46" s="162"/>
      <c r="L46" s="162"/>
      <c r="M46" s="162"/>
    </row>
    <row r="47" spans="1:15" ht="15.75">
      <c r="E47" s="163">
        <v>13</v>
      </c>
      <c r="F47" s="174" t="s">
        <v>13</v>
      </c>
      <c r="G47" s="165">
        <v>15512183</v>
      </c>
      <c r="H47" s="166">
        <f t="shared" si="0"/>
        <v>71.627837928690695</v>
      </c>
      <c r="I47" s="167">
        <v>216566.39999999999</v>
      </c>
      <c r="J47" s="162"/>
      <c r="K47" s="162"/>
      <c r="L47" s="162"/>
      <c r="M47" s="162"/>
    </row>
    <row r="48" spans="1:15" ht="15.75">
      <c r="E48" s="163">
        <v>14</v>
      </c>
      <c r="F48" s="174" t="s">
        <v>121</v>
      </c>
      <c r="G48" s="165">
        <v>3133793</v>
      </c>
      <c r="H48" s="166">
        <f t="shared" si="0"/>
        <v>14.470356435716713</v>
      </c>
      <c r="I48" s="167">
        <v>216566.39999999999</v>
      </c>
      <c r="J48" s="162"/>
      <c r="K48" s="162"/>
      <c r="L48" s="162"/>
      <c r="M48" s="162"/>
    </row>
    <row r="49" spans="5:13" ht="15.75">
      <c r="E49" s="163">
        <v>15</v>
      </c>
      <c r="F49" s="174" t="s">
        <v>122</v>
      </c>
      <c r="G49" s="165">
        <v>488954</v>
      </c>
      <c r="H49" s="166">
        <f t="shared" si="0"/>
        <v>2.2577555890479779</v>
      </c>
      <c r="I49" s="167">
        <v>216566.39999999999</v>
      </c>
      <c r="J49" s="162"/>
      <c r="K49" s="162"/>
      <c r="L49" s="162"/>
      <c r="M49" s="162"/>
    </row>
    <row r="50" spans="5:13" ht="15.75">
      <c r="E50" s="163">
        <v>16</v>
      </c>
      <c r="F50" s="175" t="s">
        <v>275</v>
      </c>
      <c r="G50" s="169">
        <v>355559</v>
      </c>
      <c r="H50" s="166">
        <f t="shared" si="0"/>
        <v>1.6418013135925056</v>
      </c>
      <c r="I50" s="167">
        <v>216566.39999999999</v>
      </c>
      <c r="J50" s="162"/>
      <c r="K50" s="162"/>
      <c r="L50" s="162"/>
      <c r="M50" s="162"/>
    </row>
    <row r="51" spans="5:13" ht="15.75">
      <c r="E51" s="162"/>
      <c r="F51" s="162"/>
      <c r="G51" s="162"/>
      <c r="H51" s="162"/>
      <c r="I51" s="162"/>
      <c r="J51" s="162"/>
      <c r="K51" s="162"/>
      <c r="L51" s="162"/>
      <c r="M51" s="162"/>
    </row>
    <row r="52" spans="5:13" ht="15.75">
      <c r="E52" s="162"/>
      <c r="F52" s="159" t="s">
        <v>32</v>
      </c>
      <c r="G52" s="170">
        <f>SUM(G35:G51)</f>
        <v>43328274</v>
      </c>
      <c r="H52" s="171">
        <f>SUM(H34:H51)</f>
        <v>200.06923511680483</v>
      </c>
      <c r="I52" s="161"/>
      <c r="J52" s="162"/>
      <c r="K52" s="162"/>
      <c r="L52" s="162"/>
      <c r="M52" s="162"/>
    </row>
    <row r="53" spans="5:13" ht="15.75">
      <c r="E53" s="162"/>
      <c r="F53" s="162"/>
      <c r="G53" s="162"/>
      <c r="H53" s="162"/>
      <c r="I53" s="162"/>
      <c r="J53" s="162"/>
      <c r="K53" s="162"/>
      <c r="L53" s="162"/>
      <c r="M53" s="162"/>
    </row>
    <row r="55" spans="5:13">
      <c r="F55" s="77"/>
      <c r="G55" s="77"/>
      <c r="H55" s="77"/>
      <c r="I55" s="77"/>
      <c r="J55" s="77"/>
      <c r="K55" s="77"/>
      <c r="L55" s="77"/>
    </row>
    <row r="56" spans="5:13">
      <c r="F56" s="77"/>
      <c r="G56" s="77"/>
      <c r="H56" s="77"/>
      <c r="I56" s="77"/>
      <c r="J56" s="77"/>
      <c r="K56" s="77"/>
      <c r="L56" s="77"/>
    </row>
    <row r="57" spans="5:13">
      <c r="E57" s="77"/>
      <c r="F57" s="77"/>
      <c r="G57" s="77"/>
      <c r="H57" s="77"/>
      <c r="I57" s="77"/>
      <c r="J57" s="77"/>
      <c r="K57" s="77"/>
      <c r="L57" s="77"/>
    </row>
    <row r="58" spans="5:13">
      <c r="E58" s="77"/>
      <c r="F58" s="77"/>
      <c r="G58" s="77"/>
      <c r="H58" s="77"/>
      <c r="I58" s="77"/>
      <c r="J58" s="77"/>
      <c r="K58" s="77"/>
      <c r="L58" s="77"/>
    </row>
    <row r="59" spans="5:13">
      <c r="E59" s="77"/>
      <c r="F59" s="77"/>
      <c r="G59" s="77"/>
      <c r="H59" s="77"/>
      <c r="I59" s="77"/>
      <c r="J59" s="77"/>
      <c r="K59" s="77"/>
      <c r="L59" s="77"/>
    </row>
    <row r="60" spans="5:13">
      <c r="E60" s="77"/>
      <c r="F60" s="77"/>
      <c r="G60" s="77"/>
      <c r="H60" s="77"/>
      <c r="I60" s="77"/>
      <c r="J60" s="77"/>
      <c r="K60" s="77"/>
      <c r="L60" s="77"/>
    </row>
    <row r="61" spans="5:13">
      <c r="E61" s="77"/>
      <c r="F61" s="77"/>
      <c r="G61" s="77"/>
      <c r="H61" s="77"/>
      <c r="I61" s="77"/>
      <c r="J61" s="77"/>
      <c r="K61" s="77"/>
      <c r="L61" s="77"/>
    </row>
    <row r="62" spans="5:13">
      <c r="E62" s="77"/>
      <c r="F62" s="77"/>
      <c r="G62" s="77"/>
      <c r="H62" s="77"/>
      <c r="I62" s="77"/>
      <c r="J62" s="77"/>
      <c r="K62" s="77"/>
      <c r="L62" s="77"/>
    </row>
    <row r="63" spans="5:13">
      <c r="E63" s="77"/>
      <c r="F63" s="77"/>
      <c r="G63" s="77"/>
      <c r="H63" s="77"/>
      <c r="I63" s="77"/>
      <c r="J63" s="77"/>
      <c r="K63" s="77"/>
      <c r="L63" s="77"/>
    </row>
    <row r="64" spans="5:13">
      <c r="E64" s="77"/>
      <c r="F64" s="77"/>
      <c r="G64" s="77"/>
      <c r="H64" s="77"/>
      <c r="I64" s="77"/>
      <c r="J64" s="77"/>
      <c r="K64" s="77"/>
      <c r="L64" s="77"/>
    </row>
    <row r="65" spans="5:17">
      <c r="E65" s="77"/>
      <c r="F65" s="77"/>
      <c r="G65" s="77"/>
      <c r="H65" s="77"/>
      <c r="I65" s="77"/>
      <c r="J65" s="77"/>
      <c r="K65" s="77"/>
      <c r="L65" s="77"/>
    </row>
    <row r="66" spans="5:17"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</row>
    <row r="67" spans="5:17"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</row>
    <row r="69" spans="5:17">
      <c r="G69" s="77"/>
      <c r="H69" s="77"/>
      <c r="I69" s="77"/>
      <c r="J69" s="77"/>
      <c r="K69" s="77"/>
      <c r="L69" s="77"/>
    </row>
    <row r="70" spans="5:17">
      <c r="G70" s="77"/>
      <c r="H70" s="77"/>
      <c r="I70" s="77"/>
      <c r="J70" s="77"/>
      <c r="K70" s="77"/>
      <c r="L70" s="77"/>
    </row>
    <row r="73" spans="5:17"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9" ht="18">
      <c r="A2" s="237" t="s">
        <v>180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9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240" t="s">
        <v>280</v>
      </c>
      <c r="F5" s="240"/>
      <c r="G5" s="240"/>
      <c r="H5" s="240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249</v>
      </c>
      <c r="B7" s="39"/>
      <c r="C7" s="39"/>
      <c r="D7" s="39"/>
      <c r="E7" s="240"/>
      <c r="F7" s="240"/>
      <c r="G7" s="240"/>
      <c r="H7" s="240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308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9" t="s">
        <v>299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M20" s="42"/>
      <c r="N20" s="1"/>
      <c r="P20" s="36"/>
      <c r="Q20" s="36"/>
      <c r="R20" s="36"/>
      <c r="S20" s="36"/>
      <c r="T20" s="1"/>
      <c r="U20" s="1"/>
      <c r="V20" s="265"/>
      <c r="W20" s="265"/>
      <c r="X20" s="1"/>
      <c r="Y20" s="1"/>
    </row>
    <row r="21" spans="1:25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246</v>
      </c>
      <c r="F21" s="256" t="s">
        <v>224</v>
      </c>
      <c r="G21" s="187" t="s">
        <v>146</v>
      </c>
      <c r="H21" s="221" t="s">
        <v>147</v>
      </c>
      <c r="I21" s="82"/>
    </row>
    <row r="22" spans="1:25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25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25" s="112" customFormat="1" ht="14.25">
      <c r="A24" s="190">
        <v>-7371.593217300031</v>
      </c>
      <c r="B24" s="191"/>
      <c r="C24" s="80">
        <v>135760.82999999999</v>
      </c>
      <c r="D24" s="80">
        <v>134235.25</v>
      </c>
      <c r="E24" s="80">
        <v>35126.559999999998</v>
      </c>
      <c r="F24" s="81">
        <f>C24-D24</f>
        <v>1525.5799999999872</v>
      </c>
      <c r="G24" s="81">
        <v>78663.239999999991</v>
      </c>
      <c r="H24" s="110">
        <f>A24+D24+E24-G24-F24</f>
        <v>81801.396782700001</v>
      </c>
      <c r="J24" s="111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216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25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0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0" s="44" customFormat="1" ht="15" customHeight="1">
      <c r="A34" s="249" t="s">
        <v>181</v>
      </c>
      <c r="B34" s="249"/>
      <c r="C34" s="184" t="s">
        <v>258</v>
      </c>
      <c r="D34" s="68"/>
      <c r="E34" s="68"/>
      <c r="F34" s="68"/>
      <c r="G34" s="68"/>
      <c r="H34" s="88">
        <v>14901</v>
      </c>
    </row>
    <row r="35" spans="1:10" s="44" customFormat="1" ht="15" customHeight="1">
      <c r="A35" s="249"/>
      <c r="B35" s="249"/>
      <c r="C35" s="68" t="s">
        <v>346</v>
      </c>
      <c r="D35" s="68"/>
      <c r="E35" s="68"/>
      <c r="F35" s="68"/>
      <c r="G35" s="68"/>
      <c r="H35" s="88">
        <f>538+304</f>
        <v>842</v>
      </c>
    </row>
    <row r="36" spans="1:10" s="44" customFormat="1" ht="15" customHeight="1">
      <c r="A36" s="249"/>
      <c r="B36" s="249"/>
      <c r="C36" s="68" t="s">
        <v>331</v>
      </c>
      <c r="D36" s="68"/>
      <c r="E36" s="68"/>
      <c r="F36" s="68"/>
      <c r="G36" s="68"/>
      <c r="H36" s="88">
        <v>18600</v>
      </c>
    </row>
    <row r="37" spans="1:10" s="44" customFormat="1" ht="15" customHeight="1">
      <c r="A37" s="249"/>
      <c r="B37" s="249"/>
      <c r="C37" s="68" t="s">
        <v>255</v>
      </c>
      <c r="D37" s="68"/>
      <c r="E37" s="68"/>
      <c r="F37" s="68"/>
      <c r="G37" s="68"/>
      <c r="H37" s="88">
        <v>6142</v>
      </c>
    </row>
    <row r="38" spans="1:10" s="44" customFormat="1" ht="15" customHeight="1">
      <c r="A38" s="249"/>
      <c r="B38" s="249"/>
      <c r="C38" s="68" t="s">
        <v>167</v>
      </c>
      <c r="D38" s="68"/>
      <c r="E38" s="68"/>
      <c r="F38" s="68"/>
      <c r="G38" s="68"/>
      <c r="H38" s="88">
        <v>36757.24</v>
      </c>
    </row>
    <row r="39" spans="1:10" s="44" customFormat="1" ht="15" customHeight="1">
      <c r="A39" s="249"/>
      <c r="B39" s="249"/>
      <c r="C39" s="68" t="s">
        <v>349</v>
      </c>
      <c r="D39" s="68"/>
      <c r="E39" s="68"/>
      <c r="F39" s="68"/>
      <c r="G39" s="68"/>
      <c r="H39" s="88">
        <v>1421</v>
      </c>
    </row>
    <row r="40" spans="1:10" s="44" customFormat="1" ht="15">
      <c r="A40" s="249"/>
      <c r="B40" s="249"/>
      <c r="C40" s="86"/>
      <c r="D40" s="86"/>
      <c r="E40" s="86"/>
      <c r="F40" s="86"/>
      <c r="G40" s="86"/>
      <c r="H40" s="89">
        <f>SUM(H34:H39)</f>
        <v>78663.239999999991</v>
      </c>
    </row>
    <row r="41" spans="1:10" s="44" customFormat="1" ht="15">
      <c r="A41" s="249"/>
      <c r="B41" s="249"/>
      <c r="C41" s="203" t="s">
        <v>369</v>
      </c>
      <c r="D41" s="203"/>
      <c r="E41" s="203"/>
      <c r="F41" s="203"/>
      <c r="G41" s="204"/>
      <c r="H41" s="89"/>
    </row>
    <row r="42" spans="1:10" s="44" customFormat="1" ht="15">
      <c r="A42" s="249"/>
      <c r="B42" s="249"/>
      <c r="C42" s="68" t="s">
        <v>255</v>
      </c>
      <c r="D42" s="86"/>
      <c r="E42" s="86"/>
      <c r="F42" s="86"/>
      <c r="G42" s="86"/>
      <c r="H42" s="88">
        <f>3741+7151+6242+3160+48334+7012+10260</f>
        <v>85900</v>
      </c>
    </row>
    <row r="43" spans="1:10" s="44" customFormat="1" ht="15" customHeight="1">
      <c r="A43" s="249"/>
      <c r="B43" s="249"/>
      <c r="C43" s="68" t="s">
        <v>331</v>
      </c>
      <c r="D43" s="68"/>
      <c r="E43" s="68"/>
      <c r="F43" s="68"/>
      <c r="G43" s="68"/>
      <c r="H43" s="88">
        <f>39680+6510</f>
        <v>46190</v>
      </c>
    </row>
    <row r="44" spans="1:10" s="44" customFormat="1" ht="15" customHeight="1">
      <c r="A44" s="249"/>
      <c r="B44" s="249"/>
      <c r="C44" s="68" t="s">
        <v>350</v>
      </c>
      <c r="D44" s="68"/>
      <c r="E44" s="68"/>
      <c r="F44" s="68"/>
      <c r="G44" s="68"/>
      <c r="H44" s="88">
        <f>6500+3009</f>
        <v>9509</v>
      </c>
    </row>
    <row r="45" spans="1:10" s="44" customFormat="1" ht="15" customHeight="1">
      <c r="A45" s="249"/>
      <c r="B45" s="249"/>
      <c r="C45" s="68" t="s">
        <v>348</v>
      </c>
      <c r="D45" s="68"/>
      <c r="E45" s="68"/>
      <c r="F45" s="68"/>
      <c r="G45" s="68"/>
      <c r="H45" s="88">
        <v>2315</v>
      </c>
    </row>
    <row r="46" spans="1:10" s="44" customFormat="1" ht="14.25" customHeight="1">
      <c r="A46" s="249"/>
      <c r="B46" s="249"/>
      <c r="C46" s="234" t="s">
        <v>347</v>
      </c>
      <c r="D46" s="234"/>
      <c r="E46" s="234"/>
      <c r="F46" s="234"/>
      <c r="G46" s="235"/>
      <c r="H46" s="88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9" t="s">
        <v>300</v>
      </c>
      <c r="B48" s="239"/>
      <c r="C48" s="239"/>
      <c r="D48" s="239"/>
      <c r="E48" s="239"/>
      <c r="F48" s="239"/>
      <c r="G48" s="239"/>
      <c r="H48" s="23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41" t="s">
        <v>370</v>
      </c>
      <c r="B50" s="241"/>
      <c r="C50" s="241"/>
      <c r="D50" s="241"/>
      <c r="E50" s="241"/>
      <c r="F50" s="241"/>
      <c r="G50" s="241"/>
      <c r="H50" s="241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1" t="s">
        <v>156</v>
      </c>
      <c r="J51" s="47"/>
      <c r="M51" s="47"/>
      <c r="N51" s="47"/>
      <c r="O51" s="47"/>
      <c r="P51" s="47"/>
    </row>
    <row r="52" spans="1:16" ht="15.75">
      <c r="A52" s="205" t="s">
        <v>18</v>
      </c>
      <c r="B52" s="207"/>
      <c r="C52" s="205" t="s">
        <v>368</v>
      </c>
      <c r="D52" s="206"/>
      <c r="E52" s="206"/>
      <c r="F52" s="206"/>
      <c r="G52" s="207"/>
      <c r="H52" s="46" t="s">
        <v>155</v>
      </c>
      <c r="I52" s="47"/>
      <c r="J52" s="47"/>
      <c r="K52" s="47"/>
      <c r="L52" s="47"/>
    </row>
    <row r="53" spans="1:16" ht="15" customHeight="1">
      <c r="A53" s="249" t="s">
        <v>181</v>
      </c>
      <c r="B53" s="249"/>
      <c r="C53" s="230" t="s">
        <v>205</v>
      </c>
      <c r="D53" s="231"/>
      <c r="E53" s="231"/>
      <c r="F53" s="231"/>
      <c r="G53" s="232"/>
      <c r="H53" s="88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9"/>
      <c r="B54" s="249"/>
      <c r="C54" s="227" t="s">
        <v>250</v>
      </c>
      <c r="D54" s="228"/>
      <c r="E54" s="228"/>
      <c r="F54" s="228"/>
      <c r="G54" s="229"/>
      <c r="H54" s="88">
        <f>5772+3058</f>
        <v>8830</v>
      </c>
      <c r="I54" s="47"/>
      <c r="J54" s="47"/>
      <c r="K54" s="47"/>
      <c r="L54" s="47"/>
    </row>
    <row r="55" spans="1:16" ht="15" customHeight="1">
      <c r="A55" s="249"/>
      <c r="B55" s="249"/>
      <c r="C55" s="230" t="s">
        <v>320</v>
      </c>
      <c r="D55" s="231"/>
      <c r="E55" s="231"/>
      <c r="F55" s="231"/>
      <c r="G55" s="232"/>
      <c r="H55" s="88">
        <f>615+615</f>
        <v>1230</v>
      </c>
      <c r="I55" s="47"/>
      <c r="J55" s="47"/>
      <c r="K55" s="47"/>
      <c r="L55" s="47"/>
    </row>
    <row r="56" spans="1:16" ht="15" customHeight="1">
      <c r="A56" s="249"/>
      <c r="B56" s="249"/>
      <c r="C56" s="67" t="s">
        <v>130</v>
      </c>
      <c r="D56" s="90"/>
      <c r="E56" s="90"/>
      <c r="F56" s="90"/>
      <c r="G56" s="91"/>
      <c r="H56" s="88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9"/>
      <c r="B57" s="249"/>
      <c r="C57" s="202" t="s">
        <v>369</v>
      </c>
      <c r="D57" s="203"/>
      <c r="E57" s="203"/>
      <c r="F57" s="203"/>
      <c r="G57" s="204"/>
      <c r="H57" s="88"/>
      <c r="I57" s="47"/>
      <c r="J57" s="47"/>
      <c r="K57" s="47"/>
      <c r="L57" s="47"/>
    </row>
    <row r="58" spans="1:16" ht="14.25">
      <c r="A58" s="249"/>
      <c r="B58" s="249"/>
      <c r="C58" s="227" t="s">
        <v>157</v>
      </c>
      <c r="D58" s="228"/>
      <c r="E58" s="228"/>
      <c r="F58" s="228"/>
      <c r="G58" s="229"/>
      <c r="H58" s="73">
        <v>7736.41</v>
      </c>
      <c r="I58" s="36"/>
      <c r="J58" s="36"/>
    </row>
    <row r="59" spans="1:16" ht="15">
      <c r="A59" s="79"/>
      <c r="B59" s="79"/>
      <c r="C59" s="108"/>
      <c r="D59" s="108"/>
      <c r="E59" s="108"/>
      <c r="F59" s="108"/>
      <c r="G59" s="108"/>
      <c r="H59" s="129"/>
      <c r="I59" s="36"/>
      <c r="J59" s="36"/>
    </row>
    <row r="60" spans="1:16">
      <c r="A60" s="77" t="s">
        <v>24</v>
      </c>
      <c r="B60" s="77"/>
      <c r="C60" s="77"/>
      <c r="D60" s="77"/>
      <c r="E60" s="77"/>
      <c r="F60" s="77"/>
      <c r="G60" s="77"/>
      <c r="H60" s="77"/>
      <c r="I60" s="77"/>
      <c r="J60" s="77"/>
    </row>
    <row r="61" spans="1:16" ht="18" customHeight="1">
      <c r="A61" s="245" t="s">
        <v>17</v>
      </c>
      <c r="B61" s="245"/>
      <c r="C61" s="245"/>
      <c r="D61" s="245"/>
      <c r="E61" s="245"/>
      <c r="F61" s="245"/>
      <c r="G61" s="245"/>
      <c r="H61" s="245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8" t="s">
        <v>15</v>
      </c>
      <c r="B63" s="218"/>
      <c r="C63" s="218"/>
      <c r="D63" s="218"/>
      <c r="E63" s="218"/>
      <c r="F63" s="218"/>
      <c r="G63" s="218"/>
      <c r="H63" s="218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1" t="s">
        <v>162</v>
      </c>
      <c r="J64" s="14"/>
    </row>
    <row r="65" spans="1:11" ht="15.75">
      <c r="A65" s="208" t="s">
        <v>16</v>
      </c>
      <c r="B65" s="208"/>
      <c r="C65" s="208"/>
      <c r="D65" s="208"/>
      <c r="E65" s="208"/>
      <c r="F65" s="208"/>
      <c r="G65" s="209"/>
      <c r="H65" s="74">
        <f>SUM(H79:H90)+H67+H73</f>
        <v>1410926.4634132348</v>
      </c>
      <c r="I65" s="72"/>
      <c r="J65" s="72"/>
    </row>
    <row r="66" spans="1:11" ht="15">
      <c r="A66" s="50" t="s">
        <v>4</v>
      </c>
      <c r="B66" s="199" t="s">
        <v>5</v>
      </c>
      <c r="C66" s="200"/>
      <c r="D66" s="200"/>
      <c r="E66" s="200"/>
      <c r="F66" s="200"/>
      <c r="G66" s="201"/>
      <c r="H66" s="75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SUM(H68:H72)</f>
        <v>28103.546566780442</v>
      </c>
      <c r="I67" s="41"/>
      <c r="K67" s="129">
        <f>Основное!$C$9*Основное!K35</f>
        <v>16671.546566780442</v>
      </c>
    </row>
    <row r="68" spans="1:11" ht="15">
      <c r="A68" s="51"/>
      <c r="B68" s="67" t="s">
        <v>203</v>
      </c>
      <c r="C68" s="68"/>
      <c r="D68" s="68"/>
      <c r="E68" s="68"/>
      <c r="F68" s="68"/>
      <c r="G68" s="68"/>
      <c r="H68" s="73">
        <f>471+171</f>
        <v>642</v>
      </c>
      <c r="I68" s="41"/>
    </row>
    <row r="69" spans="1:11" ht="15">
      <c r="A69" s="51"/>
      <c r="B69" s="67" t="s">
        <v>319</v>
      </c>
      <c r="C69" s="68"/>
      <c r="D69" s="68"/>
      <c r="E69" s="68"/>
      <c r="F69" s="68"/>
      <c r="G69" s="68"/>
      <c r="H69" s="73">
        <f>360+4556</f>
        <v>4916</v>
      </c>
      <c r="I69" s="41"/>
    </row>
    <row r="70" spans="1:11" ht="15">
      <c r="A70" s="51"/>
      <c r="B70" s="67" t="s">
        <v>211</v>
      </c>
      <c r="C70" s="68"/>
      <c r="D70" s="68"/>
      <c r="E70" s="68"/>
      <c r="F70" s="68"/>
      <c r="G70" s="68"/>
      <c r="H70" s="73">
        <v>3507</v>
      </c>
      <c r="I70" s="41"/>
    </row>
    <row r="71" spans="1:11" ht="15">
      <c r="A71" s="51"/>
      <c r="B71" s="67" t="s">
        <v>206</v>
      </c>
      <c r="C71" s="68"/>
      <c r="D71" s="68"/>
      <c r="E71" s="68"/>
      <c r="F71" s="68"/>
      <c r="G71" s="68"/>
      <c r="H71" s="73">
        <f>250+148+311+265+317+51+339+239+112+335</f>
        <v>2367</v>
      </c>
      <c r="I71" s="41"/>
    </row>
    <row r="72" spans="1:11" ht="46.5" customHeight="1">
      <c r="A72" s="51"/>
      <c r="B72" s="222" t="s">
        <v>226</v>
      </c>
      <c r="C72" s="223"/>
      <c r="D72" s="223"/>
      <c r="E72" s="223"/>
      <c r="F72" s="223"/>
      <c r="G72" s="223"/>
      <c r="H72" s="73">
        <f>K67</f>
        <v>16671.546566780442</v>
      </c>
      <c r="I72" s="41"/>
    </row>
    <row r="73" spans="1:11" ht="15.75">
      <c r="A73" s="51" t="s">
        <v>9</v>
      </c>
      <c r="B73" s="67" t="s">
        <v>136</v>
      </c>
      <c r="C73" s="68"/>
      <c r="D73" s="68"/>
      <c r="E73" s="68"/>
      <c r="F73" s="68"/>
      <c r="G73" s="68"/>
      <c r="H73" s="87">
        <f>SUM(H74:H78)</f>
        <v>67880.044128433583</v>
      </c>
      <c r="I73" s="41"/>
    </row>
    <row r="74" spans="1:11" ht="15">
      <c r="A74" s="51"/>
      <c r="B74" s="227" t="s">
        <v>318</v>
      </c>
      <c r="C74" s="228"/>
      <c r="D74" s="228"/>
      <c r="E74" s="228"/>
      <c r="F74" s="228"/>
      <c r="G74" s="229"/>
      <c r="H74" s="73">
        <v>10345</v>
      </c>
      <c r="I74" s="41"/>
    </row>
    <row r="75" spans="1:11" ht="15">
      <c r="A75" s="51"/>
      <c r="B75" s="67" t="s">
        <v>251</v>
      </c>
      <c r="C75" s="68"/>
      <c r="D75" s="68"/>
      <c r="E75" s="68"/>
      <c r="F75" s="68"/>
      <c r="G75" s="68"/>
      <c r="H75" s="73">
        <v>36757.24</v>
      </c>
      <c r="I75" s="41"/>
    </row>
    <row r="76" spans="1:11" ht="15">
      <c r="A76" s="51"/>
      <c r="B76" s="227" t="s">
        <v>271</v>
      </c>
      <c r="C76" s="228"/>
      <c r="D76" s="228"/>
      <c r="E76" s="228"/>
      <c r="F76" s="228"/>
      <c r="G76" s="228"/>
      <c r="H76" s="73">
        <f>Основное!$C$9*Основное!K36</f>
        <v>7957.600994429421</v>
      </c>
      <c r="I76" s="41"/>
    </row>
    <row r="77" spans="1:11" ht="15">
      <c r="A77" s="51"/>
      <c r="B77" s="156" t="s">
        <v>353</v>
      </c>
      <c r="C77" s="90"/>
      <c r="D77" s="90"/>
      <c r="E77" s="90"/>
      <c r="F77" s="90"/>
      <c r="G77" s="90"/>
      <c r="H77" s="73">
        <f>Основное!$C$9*Основное!O36</f>
        <v>7639.2969546522454</v>
      </c>
      <c r="I77" s="41"/>
    </row>
    <row r="78" spans="1:11" ht="15">
      <c r="A78" s="51"/>
      <c r="B78" s="67" t="s">
        <v>272</v>
      </c>
      <c r="C78" s="158"/>
      <c r="D78" s="158"/>
      <c r="E78" s="158"/>
      <c r="F78" s="158"/>
      <c r="G78" s="158"/>
      <c r="H78" s="73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3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3">
        <f>Основное!$C$9*Основное!H40</f>
        <v>193234.39108559774</v>
      </c>
      <c r="I80" s="41"/>
    </row>
    <row r="81" spans="1:19" ht="15">
      <c r="A81" s="51">
        <v>5</v>
      </c>
      <c r="B81" s="67" t="s">
        <v>170</v>
      </c>
      <c r="C81" s="68"/>
      <c r="D81" s="68"/>
      <c r="E81" s="68"/>
      <c r="F81" s="68"/>
      <c r="G81" s="68"/>
      <c r="H81" s="73">
        <f>Основное!$C$9*Основное!H41</f>
        <v>13491.079691032404</v>
      </c>
      <c r="I81" s="41"/>
      <c r="M81" s="77"/>
      <c r="N81" s="77"/>
      <c r="O81" s="77"/>
      <c r="P81" s="77"/>
      <c r="Q81" s="77"/>
      <c r="R81" s="77"/>
      <c r="S81" s="77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3">
        <f>Основное!$C$9*Основное!H42</f>
        <v>92499.390994170841</v>
      </c>
      <c r="I82" s="41"/>
      <c r="M82" s="77"/>
      <c r="N82" s="77"/>
      <c r="O82" s="77"/>
      <c r="P82" s="77"/>
      <c r="Q82" s="77"/>
      <c r="R82" s="77"/>
      <c r="S82" s="77"/>
    </row>
    <row r="83" spans="1:19" ht="15">
      <c r="A83" s="51">
        <v>7</v>
      </c>
      <c r="B83" s="67" t="s">
        <v>132</v>
      </c>
      <c r="C83" s="68"/>
      <c r="D83" s="68"/>
      <c r="E83" s="68"/>
      <c r="F83" s="68"/>
      <c r="G83" s="68"/>
      <c r="H83" s="73">
        <f>Основное!$C$9*Основное!H43</f>
        <v>230644.05536223532</v>
      </c>
      <c r="I83" s="41"/>
      <c r="M83" s="77"/>
      <c r="N83" s="77"/>
      <c r="O83" s="77"/>
      <c r="P83" s="77"/>
      <c r="Q83" s="77"/>
      <c r="R83" s="77"/>
      <c r="S83" s="77"/>
    </row>
    <row r="84" spans="1:19" ht="15">
      <c r="A84" s="51">
        <v>8</v>
      </c>
      <c r="B84" s="67" t="s">
        <v>137</v>
      </c>
      <c r="C84" s="68"/>
      <c r="D84" s="68"/>
      <c r="E84" s="68"/>
      <c r="F84" s="68"/>
      <c r="G84" s="68"/>
      <c r="H84" s="73">
        <f>Основное!$C$9*Основное!H44</f>
        <v>47854.675893398045</v>
      </c>
      <c r="I84" s="41"/>
      <c r="M84" s="77"/>
      <c r="N84" s="77"/>
      <c r="O84" s="77"/>
      <c r="P84" s="77"/>
      <c r="Q84" s="77"/>
      <c r="R84" s="77"/>
      <c r="S84" s="77"/>
    </row>
    <row r="85" spans="1:19" ht="15">
      <c r="A85" s="51">
        <v>9</v>
      </c>
      <c r="B85" s="67" t="s">
        <v>129</v>
      </c>
      <c r="C85" s="68"/>
      <c r="D85" s="68"/>
      <c r="E85" s="68"/>
      <c r="F85" s="68"/>
      <c r="G85" s="68"/>
      <c r="H85" s="73">
        <f>Основное!$C$9*Основное!H45</f>
        <v>8014.4893760066198</v>
      </c>
      <c r="I85" s="41"/>
      <c r="M85" s="77"/>
      <c r="N85" s="77"/>
      <c r="O85" s="77"/>
      <c r="P85" s="77"/>
      <c r="Q85" s="77"/>
      <c r="R85" s="77"/>
      <c r="S85" s="77"/>
    </row>
    <row r="86" spans="1:19" ht="15">
      <c r="A86" s="51">
        <v>10</v>
      </c>
      <c r="B86" s="67" t="s">
        <v>135</v>
      </c>
      <c r="C86" s="68"/>
      <c r="D86" s="68"/>
      <c r="E86" s="68"/>
      <c r="F86" s="68"/>
      <c r="G86" s="68"/>
      <c r="H86" s="73">
        <f>Основное!$C$9*Основное!H46</f>
        <v>13099.12551439189</v>
      </c>
      <c r="I86" s="41"/>
      <c r="M86" s="77"/>
      <c r="N86" s="77"/>
      <c r="O86" s="77"/>
      <c r="P86" s="77"/>
      <c r="Q86" s="77"/>
      <c r="R86" s="77"/>
      <c r="S86" s="77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3">
        <f>Основное!$C$9*Основное!H47</f>
        <v>525275.58666626026</v>
      </c>
      <c r="I87" s="41"/>
      <c r="M87" s="77"/>
      <c r="N87" s="77"/>
      <c r="O87" s="77"/>
      <c r="P87" s="77"/>
      <c r="Q87" s="77"/>
      <c r="R87" s="77"/>
      <c r="S87" s="77"/>
    </row>
    <row r="88" spans="1:19" ht="15">
      <c r="A88" s="51">
        <v>12</v>
      </c>
      <c r="B88" s="67" t="s">
        <v>128</v>
      </c>
      <c r="C88" s="68"/>
      <c r="D88" s="68"/>
      <c r="E88" s="68"/>
      <c r="F88" s="68"/>
      <c r="G88" s="68"/>
      <c r="H88" s="73">
        <f>Основное!$C$9*Основное!H48</f>
        <v>106116.91188568494</v>
      </c>
      <c r="I88" s="41"/>
      <c r="M88" s="77"/>
      <c r="N88" s="77"/>
      <c r="O88" s="77"/>
      <c r="P88" s="77"/>
      <c r="Q88" s="77"/>
      <c r="R88" s="77"/>
      <c r="S88" s="77"/>
    </row>
    <row r="89" spans="1:19" ht="15">
      <c r="A89" s="51">
        <v>13</v>
      </c>
      <c r="B89" s="67" t="s">
        <v>122</v>
      </c>
      <c r="C89" s="68"/>
      <c r="D89" s="68"/>
      <c r="E89" s="68"/>
      <c r="F89" s="68"/>
      <c r="G89" s="68"/>
      <c r="H89" s="73">
        <f>Основное!$C$9*Основное!H49</f>
        <v>16557.024836724442</v>
      </c>
      <c r="I89" s="41"/>
      <c r="M89" s="77"/>
      <c r="N89" s="77"/>
      <c r="O89" s="77"/>
      <c r="P89" s="77"/>
      <c r="Q89" s="77"/>
      <c r="R89" s="77"/>
      <c r="S89" s="77"/>
    </row>
    <row r="90" spans="1:19" ht="15">
      <c r="A90" s="51">
        <v>14</v>
      </c>
      <c r="B90" s="67" t="s">
        <v>371</v>
      </c>
      <c r="C90" s="68"/>
      <c r="D90" s="68"/>
      <c r="E90" s="68"/>
      <c r="F90" s="68"/>
      <c r="G90" s="68"/>
      <c r="H90" s="73">
        <f>Основное!$C$9*Основное!H50</f>
        <v>12039.985753099279</v>
      </c>
      <c r="I90" s="41"/>
      <c r="M90" s="77"/>
      <c r="N90" s="77"/>
      <c r="O90" s="77"/>
      <c r="P90" s="77"/>
      <c r="Q90" s="77"/>
      <c r="R90" s="77"/>
      <c r="S90" s="77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9" t="s">
        <v>253</v>
      </c>
      <c r="B92" s="219"/>
      <c r="C92" s="219"/>
      <c r="D92" s="219"/>
      <c r="E92" s="219"/>
      <c r="F92" s="219"/>
      <c r="G92" s="219"/>
      <c r="H92" s="219"/>
      <c r="I92" s="84"/>
      <c r="J92" s="84"/>
    </row>
    <row r="93" spans="1:19" s="44" customFormat="1">
      <c r="A93" s="21"/>
      <c r="B93" s="247"/>
      <c r="C93" s="247"/>
      <c r="D93" s="247"/>
      <c r="E93" s="247"/>
      <c r="F93" s="247"/>
      <c r="G93" s="247"/>
      <c r="H93" s="247"/>
      <c r="I93" s="53"/>
      <c r="J93" s="53"/>
    </row>
    <row r="94" spans="1:19" s="44" customFormat="1" ht="15.75">
      <c r="A94" s="210" t="s">
        <v>273</v>
      </c>
      <c r="B94" s="210"/>
      <c r="C94" s="210"/>
      <c r="D94" s="210"/>
      <c r="E94" s="210"/>
      <c r="F94" s="210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159</v>
      </c>
      <c r="H95" s="53"/>
      <c r="I95" s="53"/>
      <c r="J95" s="53"/>
    </row>
    <row r="96" spans="1:19" s="44" customFormat="1" ht="34.5" customHeight="1">
      <c r="A96" s="95" t="s">
        <v>207</v>
      </c>
      <c r="B96" s="128" t="s">
        <v>228</v>
      </c>
      <c r="C96" s="92" t="s">
        <v>160</v>
      </c>
      <c r="D96" s="97" t="s">
        <v>161</v>
      </c>
      <c r="E96" s="147" t="s">
        <v>240</v>
      </c>
      <c r="F96" s="100" t="s">
        <v>208</v>
      </c>
      <c r="G96" s="98"/>
      <c r="H96" s="99"/>
      <c r="I96" s="54"/>
      <c r="J96" s="53"/>
      <c r="K96" s="53"/>
      <c r="L96" s="53"/>
    </row>
    <row r="97" spans="1:16" s="44" customFormat="1" ht="15">
      <c r="A97" s="96">
        <v>2038.56</v>
      </c>
      <c r="B97" s="96">
        <v>8640</v>
      </c>
      <c r="C97" s="101">
        <v>9448</v>
      </c>
      <c r="D97" s="102">
        <v>12000</v>
      </c>
      <c r="E97" s="102">
        <v>3000</v>
      </c>
      <c r="F97" s="102">
        <f>SUM(A97:E97)</f>
        <v>35126.559999999998</v>
      </c>
      <c r="G97" s="93"/>
      <c r="H97" s="94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8" t="s">
        <v>372</v>
      </c>
      <c r="B99" s="248"/>
      <c r="C99" s="248"/>
      <c r="D99" s="248"/>
      <c r="E99" s="248"/>
      <c r="F99" s="248"/>
      <c r="G99" s="248"/>
      <c r="H99" s="248"/>
      <c r="I99" s="57"/>
      <c r="J99" s="57"/>
      <c r="K99" s="57"/>
      <c r="L99" s="57"/>
      <c r="M99" s="57"/>
    </row>
    <row r="100" spans="1:16" ht="62.25" customHeight="1">
      <c r="A100" s="246" t="s">
        <v>373</v>
      </c>
      <c r="B100" s="246"/>
      <c r="C100" s="246"/>
      <c r="D100" s="246"/>
      <c r="E100" s="246"/>
      <c r="F100" s="246"/>
      <c r="G100" s="246"/>
      <c r="H100" s="246"/>
      <c r="I100" s="76"/>
      <c r="J100" s="76"/>
      <c r="K100" s="76"/>
      <c r="L100" s="76"/>
      <c r="M100" s="76"/>
      <c r="N100" s="76"/>
      <c r="O100" s="76"/>
      <c r="P100" s="76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2" t="s">
        <v>70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59"/>
      <c r="L102" s="59"/>
      <c r="M102" s="59"/>
      <c r="N102" s="59"/>
      <c r="O102" s="59"/>
      <c r="P102" s="59"/>
    </row>
    <row r="103" spans="1:16" ht="15">
      <c r="A103" s="242" t="s">
        <v>140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59"/>
      <c r="L103" s="59"/>
      <c r="M103" s="59"/>
      <c r="N103" s="59"/>
      <c r="O103" s="59"/>
      <c r="P103" s="59"/>
    </row>
    <row r="104" spans="1:16" ht="14.25">
      <c r="A104" s="243" t="s">
        <v>141</v>
      </c>
      <c r="B104" s="243"/>
      <c r="C104" s="243"/>
      <c r="D104" s="243"/>
      <c r="E104" s="243"/>
      <c r="F104" s="243"/>
      <c r="G104" s="243"/>
      <c r="H104" s="243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4" t="s">
        <v>194</v>
      </c>
      <c r="B105" s="244"/>
      <c r="C105" s="244"/>
      <c r="D105" s="244"/>
      <c r="E105" s="244"/>
      <c r="F105" s="244"/>
      <c r="G105" s="244"/>
      <c r="H105" s="244"/>
      <c r="I105" s="149"/>
      <c r="J105" s="149"/>
      <c r="K105" s="61"/>
      <c r="L105" s="61"/>
      <c r="M105" s="61"/>
      <c r="N105" s="61"/>
      <c r="O105" s="61"/>
      <c r="P105" s="61"/>
    </row>
    <row r="106" spans="1:16" ht="15">
      <c r="A106" s="236" t="s">
        <v>164</v>
      </c>
      <c r="B106" s="236"/>
      <c r="C106" s="236"/>
      <c r="D106" s="236"/>
      <c r="E106" s="236"/>
      <c r="F106" s="236"/>
      <c r="G106" s="236"/>
      <c r="H106" s="236"/>
      <c r="I106" s="150"/>
      <c r="J106" s="150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183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143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239" t="s">
        <v>303</v>
      </c>
      <c r="F5" s="239"/>
      <c r="G5" s="239"/>
      <c r="H5" s="239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9"/>
      <c r="F6" s="239"/>
      <c r="G6" s="239"/>
      <c r="H6" s="239"/>
      <c r="I6" s="66"/>
      <c r="J6" s="66"/>
    </row>
    <row r="7" spans="1:16" s="38" customFormat="1" ht="14.25">
      <c r="A7" s="39" t="s">
        <v>261</v>
      </c>
      <c r="B7" s="39"/>
      <c r="C7" s="39"/>
      <c r="D7" s="39"/>
      <c r="E7" s="239"/>
      <c r="F7" s="239"/>
      <c r="G7" s="239"/>
      <c r="H7" s="239"/>
      <c r="I7" s="66"/>
      <c r="J7" s="66"/>
    </row>
    <row r="8" spans="1:16" s="38" customFormat="1" ht="14.25">
      <c r="A8" s="39" t="s">
        <v>260</v>
      </c>
      <c r="B8" s="39"/>
      <c r="C8" s="39"/>
      <c r="D8" s="39"/>
      <c r="E8" s="239"/>
      <c r="F8" s="239"/>
      <c r="G8" s="239"/>
      <c r="H8" s="239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185</v>
      </c>
      <c r="F11" s="39"/>
      <c r="G11" s="39" t="s">
        <v>301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186</v>
      </c>
      <c r="F12" s="39"/>
      <c r="G12" s="39" t="s">
        <v>302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187</v>
      </c>
      <c r="F13" s="39"/>
      <c r="G13" s="39" t="s">
        <v>278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188</v>
      </c>
      <c r="F14" s="39"/>
      <c r="G14" s="39" t="s">
        <v>223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189</v>
      </c>
      <c r="F15" s="39"/>
      <c r="G15" s="39" t="s">
        <v>190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9" t="s">
        <v>304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</row>
    <row r="20" spans="1:15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L20" s="42"/>
      <c r="M20" s="43"/>
    </row>
    <row r="21" spans="1:15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246</v>
      </c>
      <c r="F21" s="256" t="s">
        <v>224</v>
      </c>
      <c r="G21" s="187" t="s">
        <v>146</v>
      </c>
      <c r="H21" s="221" t="s">
        <v>147</v>
      </c>
      <c r="I21" s="82"/>
    </row>
    <row r="22" spans="1:15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15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15" s="112" customFormat="1" ht="14.25">
      <c r="A24" s="190">
        <v>-16694.780959960008</v>
      </c>
      <c r="B24" s="191"/>
      <c r="C24" s="80">
        <v>89192.52</v>
      </c>
      <c r="D24" s="80">
        <v>88933.63</v>
      </c>
      <c r="E24" s="80">
        <v>27062.879999999997</v>
      </c>
      <c r="F24" s="81">
        <f>C24-D24</f>
        <v>258.88999999999942</v>
      </c>
      <c r="G24" s="81">
        <v>36866</v>
      </c>
      <c r="H24" s="110">
        <f>A24+D24+E24-G24-F24</f>
        <v>62176.839040039995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216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</row>
    <row r="29" spans="1:15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4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4" s="44" customFormat="1" ht="15" customHeight="1">
      <c r="A34" s="213" t="s">
        <v>184</v>
      </c>
      <c r="B34" s="214"/>
      <c r="C34" s="67" t="s">
        <v>351</v>
      </c>
      <c r="D34" s="68"/>
      <c r="E34" s="68"/>
      <c r="F34" s="68"/>
      <c r="G34" s="68"/>
      <c r="H34" s="114">
        <f>386+729+331</f>
        <v>1446</v>
      </c>
    </row>
    <row r="35" spans="1:14" s="44" customFormat="1" ht="15" customHeight="1">
      <c r="A35" s="213"/>
      <c r="B35" s="214"/>
      <c r="C35" s="68" t="s">
        <v>215</v>
      </c>
      <c r="D35" s="68"/>
      <c r="E35" s="68"/>
      <c r="F35" s="68"/>
      <c r="G35" s="68"/>
      <c r="H35" s="114">
        <v>24000</v>
      </c>
    </row>
    <row r="36" spans="1:14" s="44" customFormat="1" ht="15" customHeight="1">
      <c r="A36" s="213"/>
      <c r="B36" s="214"/>
      <c r="C36" s="68" t="s">
        <v>255</v>
      </c>
      <c r="D36" s="68"/>
      <c r="E36" s="68"/>
      <c r="F36" s="68"/>
      <c r="G36" s="68"/>
      <c r="H36" s="114">
        <v>11420</v>
      </c>
    </row>
    <row r="37" spans="1:14" s="44" customFormat="1" ht="15" customHeight="1">
      <c r="A37" s="213"/>
      <c r="B37" s="214"/>
      <c r="C37" s="67"/>
      <c r="D37" s="68"/>
      <c r="E37" s="68"/>
      <c r="F37" s="68"/>
      <c r="G37" s="68"/>
      <c r="H37" s="115">
        <f>SUM(H34:H36)</f>
        <v>36866</v>
      </c>
    </row>
    <row r="38" spans="1:14" s="44" customFormat="1" ht="15" customHeight="1">
      <c r="A38" s="213"/>
      <c r="B38" s="214"/>
      <c r="C38" s="202" t="s">
        <v>369</v>
      </c>
      <c r="D38" s="203"/>
      <c r="E38" s="203"/>
      <c r="F38" s="203"/>
      <c r="G38" s="204"/>
      <c r="H38" s="114"/>
    </row>
    <row r="39" spans="1:14" s="44" customFormat="1" ht="15" customHeight="1">
      <c r="A39" s="213"/>
      <c r="B39" s="214"/>
      <c r="C39" s="233" t="s">
        <v>336</v>
      </c>
      <c r="D39" s="234"/>
      <c r="E39" s="234"/>
      <c r="F39" s="234"/>
      <c r="G39" s="235"/>
      <c r="H39" s="114">
        <v>2315</v>
      </c>
    </row>
    <row r="40" spans="1:14" s="44" customFormat="1" ht="15" customHeight="1">
      <c r="A40" s="213"/>
      <c r="B40" s="214"/>
      <c r="C40" s="183" t="s">
        <v>167</v>
      </c>
      <c r="D40" s="178"/>
      <c r="E40" s="178"/>
      <c r="F40" s="178"/>
      <c r="G40" s="178"/>
      <c r="H40" s="114">
        <f>9614+9614+39855+39855</f>
        <v>98938</v>
      </c>
    </row>
    <row r="41" spans="1:14" s="44" customFormat="1" ht="15" customHeight="1">
      <c r="A41" s="213"/>
      <c r="B41" s="214"/>
      <c r="C41" s="68" t="s">
        <v>255</v>
      </c>
      <c r="D41" s="178"/>
      <c r="E41" s="178"/>
      <c r="F41" s="178"/>
      <c r="G41" s="178"/>
      <c r="H41" s="114">
        <v>367</v>
      </c>
    </row>
    <row r="42" spans="1:14" s="44" customFormat="1" ht="15">
      <c r="A42" s="215"/>
      <c r="B42" s="216"/>
      <c r="C42" s="67" t="s">
        <v>352</v>
      </c>
      <c r="D42" s="86"/>
      <c r="E42" s="86"/>
      <c r="F42" s="86"/>
      <c r="G42" s="86"/>
      <c r="H42" s="114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9" t="s">
        <v>305</v>
      </c>
      <c r="B44" s="239"/>
      <c r="C44" s="239"/>
      <c r="D44" s="239"/>
      <c r="E44" s="239"/>
      <c r="F44" s="239"/>
      <c r="G44" s="239"/>
      <c r="H44" s="239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41" t="s">
        <v>370</v>
      </c>
      <c r="B46" s="241"/>
      <c r="C46" s="241"/>
      <c r="D46" s="241"/>
      <c r="E46" s="241"/>
      <c r="F46" s="241"/>
      <c r="G46" s="241"/>
      <c r="H46" s="241"/>
      <c r="I46" s="104"/>
      <c r="J46" s="104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1" t="s">
        <v>156</v>
      </c>
      <c r="J47" s="47"/>
      <c r="K47" s="47"/>
      <c r="L47" s="47"/>
      <c r="M47" s="47"/>
      <c r="N47" s="47"/>
    </row>
    <row r="48" spans="1:14" ht="15.75">
      <c r="A48" s="205" t="s">
        <v>18</v>
      </c>
      <c r="B48" s="207"/>
      <c r="C48" s="205" t="s">
        <v>368</v>
      </c>
      <c r="D48" s="206"/>
      <c r="E48" s="206"/>
      <c r="F48" s="206"/>
      <c r="G48" s="207"/>
      <c r="H48" s="46" t="s">
        <v>155</v>
      </c>
      <c r="I48" s="47"/>
      <c r="J48" s="47"/>
    </row>
    <row r="49" spans="1:12" ht="15" customHeight="1">
      <c r="A49" s="249" t="s">
        <v>184</v>
      </c>
      <c r="B49" s="249"/>
      <c r="C49" s="230" t="s">
        <v>205</v>
      </c>
      <c r="D49" s="231"/>
      <c r="E49" s="231"/>
      <c r="F49" s="231"/>
      <c r="G49" s="232"/>
      <c r="H49" s="88">
        <f>393+939</f>
        <v>1332</v>
      </c>
      <c r="I49" s="47"/>
      <c r="J49" s="47"/>
    </row>
    <row r="50" spans="1:12" ht="15" customHeight="1">
      <c r="A50" s="249"/>
      <c r="B50" s="249"/>
      <c r="C50" s="230" t="s">
        <v>320</v>
      </c>
      <c r="D50" s="231"/>
      <c r="E50" s="231"/>
      <c r="F50" s="231"/>
      <c r="G50" s="232"/>
      <c r="H50" s="88">
        <f>451+451</f>
        <v>902</v>
      </c>
      <c r="I50" s="47"/>
      <c r="J50" s="47"/>
    </row>
    <row r="51" spans="1:12" ht="15" customHeight="1">
      <c r="A51" s="249"/>
      <c r="B51" s="249"/>
      <c r="C51" s="67" t="s">
        <v>130</v>
      </c>
      <c r="D51" s="90"/>
      <c r="E51" s="90"/>
      <c r="F51" s="90"/>
      <c r="G51" s="91"/>
      <c r="H51" s="88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9"/>
      <c r="B52" s="249"/>
      <c r="C52" s="202" t="s">
        <v>369</v>
      </c>
      <c r="D52" s="203"/>
      <c r="E52" s="203"/>
      <c r="F52" s="203"/>
      <c r="G52" s="204"/>
      <c r="H52" s="88"/>
      <c r="I52" s="47"/>
      <c r="J52" s="47"/>
    </row>
    <row r="53" spans="1:12" ht="14.25">
      <c r="A53" s="249"/>
      <c r="B53" s="249"/>
      <c r="C53" s="227" t="s">
        <v>157</v>
      </c>
      <c r="D53" s="228"/>
      <c r="E53" s="228"/>
      <c r="F53" s="228"/>
      <c r="G53" s="229"/>
      <c r="H53" s="73">
        <v>5888.51</v>
      </c>
      <c r="I53" s="36"/>
      <c r="J53" s="36"/>
    </row>
    <row r="54" spans="1:12" ht="15">
      <c r="A54" s="79"/>
      <c r="B54" s="79"/>
      <c r="C54" s="108"/>
      <c r="D54" s="108"/>
      <c r="E54" s="108"/>
      <c r="F54" s="108"/>
      <c r="G54" s="108"/>
      <c r="H54" s="121"/>
      <c r="I54" s="36"/>
      <c r="J54" s="36"/>
    </row>
    <row r="55" spans="1:12">
      <c r="A55" s="77" t="s">
        <v>30</v>
      </c>
      <c r="B55" s="77"/>
      <c r="C55" s="77"/>
      <c r="D55" s="77"/>
      <c r="E55" s="77"/>
      <c r="F55" s="77"/>
      <c r="G55" s="77"/>
      <c r="H55" s="77"/>
      <c r="I55" s="77"/>
      <c r="J55" s="77"/>
    </row>
    <row r="56" spans="1:12" ht="18" customHeight="1">
      <c r="A56" s="245" t="s">
        <v>17</v>
      </c>
      <c r="B56" s="245"/>
      <c r="C56" s="245"/>
      <c r="D56" s="245"/>
      <c r="E56" s="245"/>
      <c r="F56" s="245"/>
      <c r="G56" s="245"/>
      <c r="H56" s="245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8" t="s">
        <v>15</v>
      </c>
      <c r="B58" s="218"/>
      <c r="C58" s="218"/>
      <c r="D58" s="218"/>
      <c r="E58" s="218"/>
      <c r="F58" s="218"/>
      <c r="G58" s="218"/>
      <c r="H58" s="218"/>
      <c r="I58" s="218"/>
      <c r="J58" s="218"/>
    </row>
    <row r="59" spans="1:12" ht="15.75">
      <c r="A59" s="14"/>
      <c r="B59" s="14"/>
      <c r="C59" s="14"/>
      <c r="D59" s="14"/>
      <c r="E59" s="14"/>
      <c r="F59" s="14"/>
      <c r="G59" s="14"/>
      <c r="H59" s="71" t="s">
        <v>162</v>
      </c>
      <c r="J59" s="14"/>
    </row>
    <row r="60" spans="1:12" ht="15.75">
      <c r="A60" s="208" t="s">
        <v>16</v>
      </c>
      <c r="B60" s="208"/>
      <c r="C60" s="208"/>
      <c r="D60" s="208"/>
      <c r="E60" s="208"/>
      <c r="F60" s="208"/>
      <c r="G60" s="209"/>
      <c r="H60" s="74">
        <f>SUM(H72:H83)+H62+H67</f>
        <v>1033220.136254331</v>
      </c>
      <c r="I60" s="72"/>
      <c r="J60" s="72"/>
    </row>
    <row r="61" spans="1:12" ht="15">
      <c r="A61" s="50" t="s">
        <v>4</v>
      </c>
      <c r="B61" s="199" t="s">
        <v>5</v>
      </c>
      <c r="C61" s="200"/>
      <c r="D61" s="200"/>
      <c r="E61" s="200"/>
      <c r="F61" s="200"/>
      <c r="G61" s="201"/>
      <c r="H61" s="75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7">
        <f>SUM(H63:H66)</f>
        <v>17421.94273460703</v>
      </c>
      <c r="I62" s="41"/>
      <c r="K62" s="129">
        <f>Основное!$C$10*Основное!K35</f>
        <v>12378.942734607032</v>
      </c>
    </row>
    <row r="63" spans="1:12" ht="15">
      <c r="A63" s="51"/>
      <c r="B63" s="67" t="s">
        <v>203</v>
      </c>
      <c r="C63" s="68"/>
      <c r="D63" s="68"/>
      <c r="E63" s="68"/>
      <c r="F63" s="68"/>
      <c r="G63" s="68"/>
      <c r="H63" s="73">
        <f>85+90+331</f>
        <v>506</v>
      </c>
      <c r="I63" s="41"/>
    </row>
    <row r="64" spans="1:12" ht="15">
      <c r="A64" s="51"/>
      <c r="B64" s="67" t="s">
        <v>211</v>
      </c>
      <c r="C64" s="68"/>
      <c r="D64" s="68"/>
      <c r="E64" s="68"/>
      <c r="F64" s="68"/>
      <c r="G64" s="68"/>
      <c r="H64" s="73">
        <v>3873</v>
      </c>
      <c r="I64" s="41"/>
    </row>
    <row r="65" spans="1:9" ht="15">
      <c r="A65" s="51"/>
      <c r="B65" s="67" t="s">
        <v>206</v>
      </c>
      <c r="C65" s="68"/>
      <c r="D65" s="68"/>
      <c r="E65" s="68"/>
      <c r="F65" s="68"/>
      <c r="G65" s="68"/>
      <c r="H65" s="73">
        <f>193+471</f>
        <v>664</v>
      </c>
      <c r="I65" s="41"/>
    </row>
    <row r="66" spans="1:9" ht="49.5" customHeight="1">
      <c r="A66" s="51"/>
      <c r="B66" s="222" t="s">
        <v>226</v>
      </c>
      <c r="C66" s="223"/>
      <c r="D66" s="223"/>
      <c r="E66" s="223"/>
      <c r="F66" s="223"/>
      <c r="G66" s="223"/>
      <c r="H66" s="73">
        <f>K62</f>
        <v>12378.942734607032</v>
      </c>
      <c r="I66" s="41"/>
    </row>
    <row r="67" spans="1:9" ht="15.75">
      <c r="A67" s="51" t="s">
        <v>9</v>
      </c>
      <c r="B67" s="67" t="s">
        <v>136</v>
      </c>
      <c r="C67" s="68"/>
      <c r="D67" s="68"/>
      <c r="E67" s="68"/>
      <c r="F67" s="68"/>
      <c r="G67" s="68"/>
      <c r="H67" s="87">
        <f>SUM(H68:H71)</f>
        <v>39427.917645581212</v>
      </c>
      <c r="I67" s="41"/>
    </row>
    <row r="68" spans="1:9" ht="15">
      <c r="A68" s="51"/>
      <c r="B68" s="67" t="s">
        <v>248</v>
      </c>
      <c r="C68" s="68"/>
      <c r="D68" s="68"/>
      <c r="E68" s="68"/>
      <c r="F68" s="68"/>
      <c r="G68" s="68"/>
      <c r="H68" s="73">
        <v>24000</v>
      </c>
      <c r="I68" s="41"/>
    </row>
    <row r="69" spans="1:9" ht="15">
      <c r="A69" s="51"/>
      <c r="B69" s="227" t="s">
        <v>271</v>
      </c>
      <c r="C69" s="228"/>
      <c r="D69" s="228"/>
      <c r="E69" s="228"/>
      <c r="F69" s="228"/>
      <c r="G69" s="228"/>
      <c r="H69" s="73">
        <f>Основное!$C$10*Основное!K36</f>
        <v>5908.6711973787251</v>
      </c>
      <c r="I69" s="41"/>
    </row>
    <row r="70" spans="1:9" ht="15">
      <c r="A70" s="51"/>
      <c r="B70" s="156" t="s">
        <v>353</v>
      </c>
      <c r="C70" s="90"/>
      <c r="D70" s="90"/>
      <c r="E70" s="90"/>
      <c r="F70" s="90"/>
      <c r="G70" s="90"/>
      <c r="H70" s="73">
        <f>Основное!$C$10*Основное!O36</f>
        <v>5672.324349483576</v>
      </c>
      <c r="I70" s="41"/>
    </row>
    <row r="71" spans="1:9" ht="15">
      <c r="A71" s="51"/>
      <c r="B71" s="67" t="s">
        <v>272</v>
      </c>
      <c r="C71" s="158"/>
      <c r="D71" s="158"/>
      <c r="E71" s="158"/>
      <c r="F71" s="158"/>
      <c r="G71" s="158"/>
      <c r="H71" s="73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3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3">
        <f>Основное!$C$10*Основное!H40</f>
        <v>143480.23754266588</v>
      </c>
      <c r="I73" s="41"/>
    </row>
    <row r="74" spans="1:9" ht="15">
      <c r="A74" s="51">
        <v>5</v>
      </c>
      <c r="B74" s="67" t="s">
        <v>170</v>
      </c>
      <c r="C74" s="68"/>
      <c r="D74" s="68"/>
      <c r="E74" s="68"/>
      <c r="F74" s="68"/>
      <c r="G74" s="68"/>
      <c r="H74" s="73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3">
        <f>Основное!$C$10*Основное!H42</f>
        <v>68682.570001302141</v>
      </c>
      <c r="I75" s="41"/>
    </row>
    <row r="76" spans="1:9" ht="15">
      <c r="A76" s="51">
        <v>7</v>
      </c>
      <c r="B76" s="67" t="s">
        <v>132</v>
      </c>
      <c r="C76" s="68"/>
      <c r="D76" s="68"/>
      <c r="E76" s="68"/>
      <c r="F76" s="68"/>
      <c r="G76" s="68"/>
      <c r="H76" s="73">
        <f>Основное!$C$10*Основное!H43</f>
        <v>171257.62999671232</v>
      </c>
      <c r="I76" s="41"/>
    </row>
    <row r="77" spans="1:9" ht="15">
      <c r="A77" s="51">
        <v>8</v>
      </c>
      <c r="B77" s="67" t="s">
        <v>137</v>
      </c>
      <c r="C77" s="68"/>
      <c r="D77" s="68"/>
      <c r="E77" s="68"/>
      <c r="F77" s="68"/>
      <c r="G77" s="68"/>
      <c r="H77" s="73">
        <f>Основное!$C$10*Основное!H44</f>
        <v>35533.013694598973</v>
      </c>
      <c r="I77" s="41"/>
    </row>
    <row r="78" spans="1:9" ht="15">
      <c r="A78" s="51">
        <v>9</v>
      </c>
      <c r="B78" s="67" t="s">
        <v>129</v>
      </c>
      <c r="C78" s="68"/>
      <c r="D78" s="68"/>
      <c r="E78" s="68"/>
      <c r="F78" s="68"/>
      <c r="G78" s="68"/>
      <c r="H78" s="73">
        <f>Основное!$C$10*Основное!H45</f>
        <v>5950.9119106195603</v>
      </c>
      <c r="I78" s="41"/>
    </row>
    <row r="79" spans="1:9" ht="15">
      <c r="A79" s="51">
        <v>10</v>
      </c>
      <c r="B79" s="67" t="s">
        <v>135</v>
      </c>
      <c r="C79" s="68"/>
      <c r="D79" s="68"/>
      <c r="E79" s="68"/>
      <c r="F79" s="68"/>
      <c r="G79" s="68"/>
      <c r="H79" s="73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3">
        <f>Основное!$C$10*Основное!H47</f>
        <v>390027.18681092723</v>
      </c>
      <c r="I80" s="41"/>
    </row>
    <row r="81" spans="1:16" ht="15">
      <c r="A81" s="51">
        <v>12</v>
      </c>
      <c r="B81" s="67" t="s">
        <v>128</v>
      </c>
      <c r="C81" s="68"/>
      <c r="D81" s="68"/>
      <c r="E81" s="68"/>
      <c r="F81" s="68"/>
      <c r="G81" s="68"/>
      <c r="H81" s="73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122</v>
      </c>
      <c r="C82" s="68"/>
      <c r="D82" s="68"/>
      <c r="E82" s="68"/>
      <c r="F82" s="68"/>
      <c r="G82" s="68"/>
      <c r="H82" s="73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371</v>
      </c>
      <c r="C83" s="68"/>
      <c r="D83" s="68"/>
      <c r="E83" s="68"/>
      <c r="F83" s="68"/>
      <c r="G83" s="68"/>
      <c r="H83" s="73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6" t="s">
        <v>256</v>
      </c>
      <c r="B85" s="266"/>
      <c r="C85" s="266"/>
      <c r="D85" s="266"/>
      <c r="E85" s="266"/>
      <c r="F85" s="266"/>
      <c r="G85" s="266"/>
      <c r="H85" s="266"/>
      <c r="I85" s="84"/>
      <c r="J85" s="84"/>
    </row>
    <row r="86" spans="1:16" s="44" customFormat="1">
      <c r="A86" s="21"/>
      <c r="B86" s="247"/>
      <c r="C86" s="247"/>
      <c r="D86" s="247"/>
      <c r="E86" s="247"/>
      <c r="F86" s="247"/>
      <c r="G86" s="247"/>
      <c r="H86" s="247"/>
      <c r="I86" s="53"/>
      <c r="J86" s="53"/>
    </row>
    <row r="87" spans="1:16" s="44" customFormat="1" ht="15.75">
      <c r="A87" s="210" t="s">
        <v>273</v>
      </c>
      <c r="B87" s="210"/>
      <c r="C87" s="210"/>
      <c r="D87" s="210"/>
      <c r="E87" s="210"/>
      <c r="F87" s="210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159</v>
      </c>
      <c r="H88" s="53"/>
      <c r="I88" s="53"/>
      <c r="J88" s="53"/>
    </row>
    <row r="89" spans="1:16" s="44" customFormat="1" ht="34.5" customHeight="1">
      <c r="A89" s="95" t="s">
        <v>207</v>
      </c>
      <c r="B89" s="128" t="s">
        <v>228</v>
      </c>
      <c r="C89" s="92" t="s">
        <v>160</v>
      </c>
      <c r="D89" s="97" t="s">
        <v>161</v>
      </c>
      <c r="E89" s="147" t="s">
        <v>240</v>
      </c>
      <c r="F89" s="100" t="s">
        <v>208</v>
      </c>
      <c r="G89" s="98"/>
      <c r="H89" s="99"/>
      <c r="I89" s="54"/>
      <c r="J89" s="53"/>
      <c r="K89" s="53"/>
      <c r="L89" s="53"/>
    </row>
    <row r="90" spans="1:16" s="44" customFormat="1" ht="15">
      <c r="A90" s="96">
        <v>1496.88</v>
      </c>
      <c r="B90" s="96">
        <v>6480</v>
      </c>
      <c r="C90" s="101">
        <v>7086</v>
      </c>
      <c r="D90" s="102">
        <v>6000</v>
      </c>
      <c r="E90" s="102">
        <v>6000</v>
      </c>
      <c r="F90" s="102">
        <f>SUM(A90:E90)</f>
        <v>27062.880000000001</v>
      </c>
      <c r="G90" s="93"/>
      <c r="H90" s="94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8" t="s">
        <v>372</v>
      </c>
      <c r="B92" s="248"/>
      <c r="C92" s="248"/>
      <c r="D92" s="248"/>
      <c r="E92" s="248"/>
      <c r="F92" s="248"/>
      <c r="G92" s="248"/>
      <c r="H92" s="248"/>
      <c r="I92" s="57"/>
      <c r="J92" s="57"/>
      <c r="K92" s="57"/>
      <c r="L92" s="57"/>
      <c r="M92" s="57"/>
    </row>
    <row r="93" spans="1:16" ht="62.25" customHeight="1">
      <c r="A93" s="246" t="s">
        <v>373</v>
      </c>
      <c r="B93" s="246"/>
      <c r="C93" s="246"/>
      <c r="D93" s="246"/>
      <c r="E93" s="246"/>
      <c r="F93" s="246"/>
      <c r="G93" s="246"/>
      <c r="H93" s="246"/>
      <c r="I93" s="76"/>
      <c r="J93" s="76"/>
      <c r="K93" s="76"/>
      <c r="L93" s="76"/>
      <c r="M93" s="76"/>
      <c r="N93" s="76"/>
      <c r="O93" s="76"/>
      <c r="P93" s="76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2" t="s">
        <v>70</v>
      </c>
      <c r="B95" s="242"/>
      <c r="C95" s="242"/>
      <c r="D95" s="242"/>
      <c r="E95" s="242"/>
      <c r="F95" s="242"/>
      <c r="G95" s="242"/>
      <c r="H95" s="242"/>
      <c r="I95" s="148"/>
      <c r="J95" s="148"/>
      <c r="K95" s="59"/>
      <c r="L95" s="59"/>
      <c r="M95" s="59"/>
      <c r="N95" s="59"/>
      <c r="O95" s="59"/>
      <c r="P95" s="59"/>
    </row>
    <row r="96" spans="1:16" ht="15">
      <c r="A96" s="242" t="s">
        <v>140</v>
      </c>
      <c r="B96" s="242"/>
      <c r="C96" s="242"/>
      <c r="D96" s="242"/>
      <c r="E96" s="242"/>
      <c r="F96" s="242"/>
      <c r="G96" s="242"/>
      <c r="H96" s="242"/>
      <c r="I96" s="148"/>
      <c r="J96" s="148"/>
      <c r="K96" s="59"/>
      <c r="L96" s="59"/>
      <c r="M96" s="59"/>
      <c r="N96" s="59"/>
      <c r="O96" s="59"/>
      <c r="P96" s="59"/>
    </row>
    <row r="97" spans="1:16" ht="14.25">
      <c r="A97" s="243" t="s">
        <v>141</v>
      </c>
      <c r="B97" s="243"/>
      <c r="C97" s="243"/>
      <c r="D97" s="243"/>
      <c r="E97" s="243"/>
      <c r="F97" s="243"/>
      <c r="G97" s="243"/>
      <c r="H97" s="243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4" t="s">
        <v>194</v>
      </c>
      <c r="B98" s="244"/>
      <c r="C98" s="244"/>
      <c r="D98" s="244"/>
      <c r="E98" s="244"/>
      <c r="F98" s="244"/>
      <c r="G98" s="244"/>
      <c r="H98" s="244"/>
      <c r="I98" s="149"/>
      <c r="J98" s="149"/>
      <c r="K98" s="61"/>
      <c r="L98" s="61"/>
      <c r="M98" s="61"/>
      <c r="N98" s="61"/>
      <c r="O98" s="61"/>
      <c r="P98" s="61"/>
    </row>
    <row r="99" spans="1:16" ht="15">
      <c r="A99" s="236" t="s">
        <v>164</v>
      </c>
      <c r="B99" s="236"/>
      <c r="C99" s="236"/>
      <c r="D99" s="236"/>
      <c r="E99" s="236"/>
      <c r="F99" s="236"/>
      <c r="G99" s="236"/>
      <c r="H99" s="236"/>
      <c r="I99" s="150"/>
      <c r="J99" s="150"/>
      <c r="K99" s="62"/>
      <c r="L99" s="62"/>
      <c r="M99" s="62"/>
      <c r="N99" s="62"/>
      <c r="O99" s="62"/>
      <c r="P99" s="62"/>
    </row>
    <row r="106" spans="1:16">
      <c r="G106" s="77"/>
      <c r="H106" s="77"/>
      <c r="I106" s="77"/>
      <c r="J106" s="77"/>
      <c r="K106" s="77"/>
      <c r="L106" s="77"/>
      <c r="M106" s="77"/>
    </row>
    <row r="107" spans="1:16">
      <c r="G107" s="77"/>
      <c r="H107" s="77"/>
      <c r="I107" s="77"/>
      <c r="J107" s="77"/>
      <c r="K107" s="77"/>
      <c r="L107" s="77"/>
      <c r="M107" s="77"/>
    </row>
    <row r="108" spans="1:16">
      <c r="G108" s="77"/>
      <c r="H108" s="77"/>
      <c r="I108" s="77"/>
      <c r="J108" s="77"/>
      <c r="K108" s="77"/>
      <c r="L108" s="77"/>
      <c r="M108" s="77"/>
    </row>
    <row r="109" spans="1:16">
      <c r="G109" s="77"/>
      <c r="H109" s="77"/>
      <c r="I109" s="77"/>
      <c r="J109" s="77"/>
      <c r="K109" s="77"/>
      <c r="L109" s="77"/>
      <c r="M109" s="77"/>
    </row>
    <row r="110" spans="1:16">
      <c r="G110" s="77"/>
      <c r="H110" s="77"/>
      <c r="I110" s="77"/>
      <c r="J110" s="77"/>
      <c r="K110" s="77"/>
      <c r="L110" s="77"/>
      <c r="M110" s="77"/>
    </row>
    <row r="111" spans="1:16">
      <c r="G111" s="77"/>
      <c r="H111" s="77"/>
      <c r="I111" s="77"/>
      <c r="J111" s="77"/>
      <c r="K111" s="77"/>
      <c r="L111" s="77"/>
      <c r="M111" s="77"/>
    </row>
    <row r="112" spans="1:16">
      <c r="G112" s="77"/>
      <c r="H112" s="77"/>
      <c r="I112" s="77"/>
      <c r="J112" s="77"/>
      <c r="K112" s="77"/>
      <c r="L112" s="77"/>
      <c r="M112" s="77"/>
    </row>
    <row r="113" spans="7:18">
      <c r="G113" s="77"/>
      <c r="H113" s="77"/>
      <c r="I113" s="77"/>
      <c r="J113" s="77"/>
      <c r="K113" s="77"/>
      <c r="L113" s="77"/>
      <c r="M113" s="77"/>
    </row>
    <row r="114" spans="7:18">
      <c r="G114" s="77"/>
      <c r="H114" s="77"/>
      <c r="I114" s="77"/>
      <c r="J114" s="77"/>
      <c r="K114" s="77"/>
      <c r="L114" s="77"/>
      <c r="M114" s="77"/>
    </row>
    <row r="115" spans="7:18">
      <c r="G115" s="77"/>
      <c r="H115" s="77"/>
      <c r="I115" s="77"/>
      <c r="J115" s="77"/>
      <c r="K115" s="77"/>
      <c r="L115" s="77"/>
      <c r="M115" s="77"/>
    </row>
    <row r="118" spans="7:18"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192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40" t="s">
        <v>280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.75" customHeight="1">
      <c r="A7" s="39" t="s">
        <v>263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262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9" t="s">
        <v>309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</row>
    <row r="20" spans="1:15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L20" s="42"/>
      <c r="M20" s="43"/>
    </row>
    <row r="21" spans="1:15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246</v>
      </c>
      <c r="F21" s="256" t="s">
        <v>224</v>
      </c>
      <c r="G21" s="187" t="s">
        <v>146</v>
      </c>
      <c r="H21" s="221" t="s">
        <v>147</v>
      </c>
      <c r="I21" s="82"/>
    </row>
    <row r="22" spans="1:15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15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15" s="112" customFormat="1" ht="14.25">
      <c r="A24" s="190">
        <v>-130774.58319307998</v>
      </c>
      <c r="B24" s="191"/>
      <c r="C24" s="80">
        <v>199959.14999999997</v>
      </c>
      <c r="D24" s="80">
        <v>196307.94</v>
      </c>
      <c r="E24" s="80">
        <v>48125.759999999995</v>
      </c>
      <c r="F24" s="81">
        <f>C24-D24</f>
        <v>3651.2099999999627</v>
      </c>
      <c r="G24" s="81">
        <v>76360</v>
      </c>
      <c r="H24" s="110">
        <f>A24+D24+E24-G24-F24</f>
        <v>33647.906806920058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216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</row>
    <row r="29" spans="1:15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0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0" s="44" customFormat="1" ht="15" customHeight="1">
      <c r="A34" s="213" t="s">
        <v>193</v>
      </c>
      <c r="B34" s="214"/>
      <c r="C34" s="68" t="s">
        <v>356</v>
      </c>
      <c r="D34" s="68"/>
      <c r="E34" s="68"/>
      <c r="F34" s="68"/>
      <c r="G34" s="68"/>
      <c r="H34" s="114">
        <f>1331+1608+541+515+293+3034</f>
        <v>7322</v>
      </c>
    </row>
    <row r="35" spans="1:10" s="44" customFormat="1" ht="15" customHeight="1">
      <c r="A35" s="213"/>
      <c r="B35" s="214"/>
      <c r="C35" s="68" t="s">
        <v>355</v>
      </c>
      <c r="D35" s="68"/>
      <c r="E35" s="68"/>
      <c r="F35" s="68"/>
      <c r="G35" s="68"/>
      <c r="H35" s="114">
        <f>2691+8275</f>
        <v>10966</v>
      </c>
    </row>
    <row r="36" spans="1:10" s="44" customFormat="1" ht="15" customHeight="1">
      <c r="A36" s="213"/>
      <c r="B36" s="214"/>
      <c r="C36" s="68" t="s">
        <v>349</v>
      </c>
      <c r="D36" s="68"/>
      <c r="E36" s="68"/>
      <c r="F36" s="68"/>
      <c r="G36" s="151"/>
      <c r="H36" s="114">
        <f>314+1199</f>
        <v>1513</v>
      </c>
    </row>
    <row r="37" spans="1:10" s="44" customFormat="1" ht="15" customHeight="1">
      <c r="A37" s="213"/>
      <c r="B37" s="214"/>
      <c r="C37" s="68" t="s">
        <v>158</v>
      </c>
      <c r="D37" s="68"/>
      <c r="E37" s="68"/>
      <c r="F37" s="68"/>
      <c r="G37" s="68"/>
      <c r="H37" s="114">
        <f>25895+25895</f>
        <v>51790</v>
      </c>
    </row>
    <row r="38" spans="1:10" s="44" customFormat="1" ht="15" customHeight="1">
      <c r="A38" s="213"/>
      <c r="B38" s="214"/>
      <c r="C38" s="68" t="s">
        <v>210</v>
      </c>
      <c r="D38" s="68"/>
      <c r="E38" s="68"/>
      <c r="F38" s="68"/>
      <c r="G38" s="68"/>
      <c r="H38" s="114">
        <v>4769</v>
      </c>
    </row>
    <row r="39" spans="1:10" s="44" customFormat="1" ht="15" customHeight="1">
      <c r="A39" s="213"/>
      <c r="B39" s="214"/>
      <c r="C39" s="68"/>
      <c r="D39" s="68"/>
      <c r="E39" s="68"/>
      <c r="F39" s="68"/>
      <c r="G39" s="68"/>
      <c r="H39" s="115">
        <f>SUM(H34:H38)</f>
        <v>76360</v>
      </c>
    </row>
    <row r="40" spans="1:10" s="44" customFormat="1" ht="15">
      <c r="A40" s="213"/>
      <c r="B40" s="214"/>
      <c r="C40" s="203" t="s">
        <v>369</v>
      </c>
      <c r="D40" s="203"/>
      <c r="E40" s="203"/>
      <c r="F40" s="203"/>
      <c r="G40" s="204"/>
      <c r="H40" s="115"/>
    </row>
    <row r="41" spans="1:10" s="44" customFormat="1" ht="15">
      <c r="A41" s="213"/>
      <c r="B41" s="214"/>
      <c r="C41" s="67" t="s">
        <v>357</v>
      </c>
      <c r="D41" s="182"/>
      <c r="E41" s="182"/>
      <c r="F41" s="182"/>
      <c r="G41" s="182"/>
      <c r="H41" s="114">
        <f>8800+7013+7985+12452+2782</f>
        <v>39032</v>
      </c>
    </row>
    <row r="42" spans="1:10" s="44" customFormat="1" ht="14.25" customHeight="1">
      <c r="A42" s="213"/>
      <c r="B42" s="214"/>
      <c r="C42" s="68" t="s">
        <v>153</v>
      </c>
      <c r="D42" s="68"/>
      <c r="E42" s="68"/>
      <c r="F42" s="68"/>
      <c r="G42" s="68"/>
      <c r="H42" s="114">
        <v>52700</v>
      </c>
    </row>
    <row r="43" spans="1:10" s="44" customFormat="1" ht="14.25" customHeight="1">
      <c r="A43" s="213"/>
      <c r="B43" s="214"/>
      <c r="C43" s="68" t="s">
        <v>336</v>
      </c>
      <c r="D43" s="68"/>
      <c r="E43" s="68"/>
      <c r="F43" s="68"/>
      <c r="G43" s="68"/>
      <c r="H43" s="114">
        <f>2315+2218</f>
        <v>4533</v>
      </c>
    </row>
    <row r="44" spans="1:10" s="44" customFormat="1" ht="14.25" customHeight="1">
      <c r="A44" s="213"/>
      <c r="B44" s="214"/>
      <c r="C44" s="68" t="s">
        <v>354</v>
      </c>
      <c r="D44" s="68"/>
      <c r="E44" s="68"/>
      <c r="F44" s="68"/>
      <c r="G44" s="68"/>
      <c r="H44" s="114">
        <v>31885</v>
      </c>
    </row>
    <row r="45" spans="1:10" s="44" customFormat="1" ht="15">
      <c r="A45" s="215"/>
      <c r="B45" s="216"/>
      <c r="C45" s="68" t="s">
        <v>255</v>
      </c>
      <c r="D45" s="86"/>
      <c r="E45" s="86"/>
      <c r="F45" s="86"/>
      <c r="G45" s="86"/>
      <c r="H45" s="114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9" t="s">
        <v>310</v>
      </c>
      <c r="B47" s="239"/>
      <c r="C47" s="239"/>
      <c r="D47" s="239"/>
      <c r="E47" s="239"/>
      <c r="F47" s="239"/>
      <c r="G47" s="239"/>
      <c r="H47" s="239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41" t="s">
        <v>370</v>
      </c>
      <c r="B49" s="241"/>
      <c r="C49" s="241"/>
      <c r="D49" s="241"/>
      <c r="E49" s="241"/>
      <c r="F49" s="241"/>
      <c r="G49" s="241"/>
      <c r="H49" s="241"/>
      <c r="I49" s="104"/>
      <c r="J49" s="104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1" t="s">
        <v>156</v>
      </c>
      <c r="J50" s="47"/>
      <c r="K50" s="47"/>
      <c r="L50" s="47"/>
      <c r="M50" s="47"/>
      <c r="N50" s="47"/>
    </row>
    <row r="51" spans="1:14" ht="15.75">
      <c r="A51" s="205" t="s">
        <v>18</v>
      </c>
      <c r="B51" s="207"/>
      <c r="C51" s="205" t="s">
        <v>368</v>
      </c>
      <c r="D51" s="206"/>
      <c r="E51" s="206"/>
      <c r="F51" s="206"/>
      <c r="G51" s="207"/>
      <c r="H51" s="46" t="s">
        <v>155</v>
      </c>
      <c r="I51" s="47"/>
      <c r="J51" s="47"/>
    </row>
    <row r="52" spans="1:14" ht="15" customHeight="1">
      <c r="A52" s="211" t="s">
        <v>193</v>
      </c>
      <c r="B52" s="212"/>
      <c r="C52" s="230" t="s">
        <v>205</v>
      </c>
      <c r="D52" s="231"/>
      <c r="E52" s="231"/>
      <c r="F52" s="231"/>
      <c r="G52" s="232"/>
      <c r="H52" s="88">
        <f>1191+518+1067+423+595+250+346+885+496+735+883</f>
        <v>7389</v>
      </c>
      <c r="I52" s="47"/>
      <c r="J52" s="47"/>
    </row>
    <row r="53" spans="1:14" ht="15" customHeight="1">
      <c r="A53" s="213"/>
      <c r="B53" s="214"/>
      <c r="C53" s="230" t="s">
        <v>320</v>
      </c>
      <c r="D53" s="231"/>
      <c r="E53" s="231"/>
      <c r="F53" s="231"/>
      <c r="G53" s="232"/>
      <c r="H53" s="88">
        <f>557+557</f>
        <v>1114</v>
      </c>
      <c r="I53" s="47"/>
      <c r="J53" s="47"/>
    </row>
    <row r="54" spans="1:14" ht="15" customHeight="1">
      <c r="A54" s="213"/>
      <c r="B54" s="214"/>
      <c r="C54" s="67" t="s">
        <v>130</v>
      </c>
      <c r="D54" s="90"/>
      <c r="E54" s="90"/>
      <c r="F54" s="90"/>
      <c r="G54" s="91"/>
      <c r="H54" s="88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3"/>
      <c r="B55" s="214"/>
      <c r="C55" s="202" t="s">
        <v>369</v>
      </c>
      <c r="D55" s="203"/>
      <c r="E55" s="203"/>
      <c r="F55" s="203"/>
      <c r="G55" s="204"/>
      <c r="H55" s="88"/>
      <c r="I55" s="47"/>
      <c r="J55" s="47"/>
    </row>
    <row r="56" spans="1:14" ht="14.25">
      <c r="A56" s="215"/>
      <c r="B56" s="216"/>
      <c r="C56" s="227" t="s">
        <v>157</v>
      </c>
      <c r="D56" s="228"/>
      <c r="E56" s="228"/>
      <c r="F56" s="228"/>
      <c r="G56" s="229"/>
      <c r="H56" s="73">
        <v>11432.24</v>
      </c>
      <c r="I56" s="36"/>
      <c r="J56" s="36"/>
      <c r="K56" s="25"/>
    </row>
    <row r="57" spans="1:14" ht="14.25">
      <c r="A57" s="1"/>
      <c r="B57" s="1"/>
      <c r="C57" s="108"/>
      <c r="D57" s="108"/>
      <c r="E57" s="108"/>
      <c r="F57" s="108"/>
      <c r="G57" s="108"/>
      <c r="H57" s="36"/>
      <c r="I57" s="36"/>
      <c r="J57" s="36"/>
    </row>
    <row r="58" spans="1:14">
      <c r="A58" s="77" t="s">
        <v>107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4" ht="18" customHeight="1">
      <c r="A59" s="245" t="s">
        <v>17</v>
      </c>
      <c r="B59" s="245"/>
      <c r="C59" s="245"/>
      <c r="D59" s="245"/>
      <c r="E59" s="245"/>
      <c r="F59" s="245"/>
      <c r="G59" s="245"/>
      <c r="H59" s="245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8" t="s">
        <v>15</v>
      </c>
      <c r="B61" s="218"/>
      <c r="C61" s="218"/>
      <c r="D61" s="218"/>
      <c r="E61" s="218"/>
      <c r="F61" s="218"/>
      <c r="G61" s="218"/>
      <c r="H61" s="218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1" t="s">
        <v>162</v>
      </c>
      <c r="J62" s="14"/>
    </row>
    <row r="63" spans="1:14" ht="15.75">
      <c r="A63" s="208" t="s">
        <v>16</v>
      </c>
      <c r="B63" s="208"/>
      <c r="C63" s="208"/>
      <c r="D63" s="208"/>
      <c r="E63" s="208"/>
      <c r="F63" s="208"/>
      <c r="G63" s="209"/>
      <c r="H63" s="74">
        <f>SUM(H76:H87)+H65+H70</f>
        <v>2067751.7263024184</v>
      </c>
      <c r="I63" s="72"/>
      <c r="J63" s="72"/>
    </row>
    <row r="64" spans="1:14" ht="15">
      <c r="A64" s="50" t="s">
        <v>4</v>
      </c>
      <c r="B64" s="199" t="s">
        <v>5</v>
      </c>
      <c r="C64" s="200"/>
      <c r="D64" s="200"/>
      <c r="E64" s="200"/>
      <c r="F64" s="200"/>
      <c r="G64" s="201"/>
      <c r="H64" s="75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SUM(H66:H69)</f>
        <v>61276.556208165261</v>
      </c>
      <c r="I65" s="41"/>
      <c r="K65" s="129">
        <f>Основное!$C$11*Основное!K35</f>
        <v>24558.556208165261</v>
      </c>
    </row>
    <row r="66" spans="1:11" ht="15">
      <c r="A66" s="51"/>
      <c r="B66" s="67" t="s">
        <v>203</v>
      </c>
      <c r="C66" s="68"/>
      <c r="D66" s="68"/>
      <c r="E66" s="68"/>
      <c r="F66" s="68"/>
      <c r="G66" s="68"/>
      <c r="H66" s="73">
        <f>660+566+474+346+160+2800</f>
        <v>5006</v>
      </c>
      <c r="I66" s="41"/>
    </row>
    <row r="67" spans="1:11" ht="15">
      <c r="A67" s="51"/>
      <c r="B67" s="67" t="s">
        <v>335</v>
      </c>
      <c r="C67" s="68"/>
      <c r="D67" s="68"/>
      <c r="E67" s="68"/>
      <c r="F67" s="68"/>
      <c r="G67" s="68"/>
      <c r="H67" s="73">
        <f>2290+7939+7939+7400+220+1320+1137</f>
        <v>28245</v>
      </c>
      <c r="I67" s="41"/>
    </row>
    <row r="68" spans="1:11" ht="15">
      <c r="A68" s="51"/>
      <c r="B68" s="67" t="s">
        <v>206</v>
      </c>
      <c r="C68" s="68"/>
      <c r="D68" s="68"/>
      <c r="E68" s="68"/>
      <c r="F68" s="68"/>
      <c r="G68" s="68"/>
      <c r="H68" s="73">
        <f>520+183+463+189+260+82+112+648+161+400+449</f>
        <v>3467</v>
      </c>
      <c r="I68" s="41"/>
    </row>
    <row r="69" spans="1:11" ht="47.25" customHeight="1">
      <c r="A69" s="51"/>
      <c r="B69" s="222" t="s">
        <v>226</v>
      </c>
      <c r="C69" s="223"/>
      <c r="D69" s="223"/>
      <c r="E69" s="223"/>
      <c r="F69" s="223"/>
      <c r="G69" s="223"/>
      <c r="H69" s="73">
        <f>K65</f>
        <v>24558.556208165261</v>
      </c>
      <c r="I69" s="41"/>
    </row>
    <row r="70" spans="1:11" ht="15.75">
      <c r="A70" s="51" t="s">
        <v>9</v>
      </c>
      <c r="B70" s="67" t="s">
        <v>136</v>
      </c>
      <c r="C70" s="68"/>
      <c r="D70" s="68"/>
      <c r="E70" s="68"/>
      <c r="F70" s="68"/>
      <c r="G70" s="68"/>
      <c r="H70" s="87">
        <f>SUM(H71:H75)</f>
        <v>69456.410567844316</v>
      </c>
      <c r="I70" s="41"/>
    </row>
    <row r="71" spans="1:11" ht="15">
      <c r="A71" s="51"/>
      <c r="B71" s="67" t="s">
        <v>213</v>
      </c>
      <c r="C71" s="68"/>
      <c r="D71" s="68"/>
      <c r="E71" s="68"/>
      <c r="F71" s="68"/>
      <c r="G71" s="68"/>
      <c r="H71" s="73">
        <f>17700+17700</f>
        <v>35400</v>
      </c>
      <c r="I71" s="41"/>
    </row>
    <row r="72" spans="1:11" ht="15">
      <c r="A72" s="51"/>
      <c r="B72" s="227" t="s">
        <v>318</v>
      </c>
      <c r="C72" s="228"/>
      <c r="D72" s="228"/>
      <c r="E72" s="228"/>
      <c r="F72" s="228"/>
      <c r="G72" s="229"/>
      <c r="H72" s="73">
        <v>3449</v>
      </c>
      <c r="I72" s="41"/>
    </row>
    <row r="73" spans="1:11" ht="15">
      <c r="A73" s="51"/>
      <c r="B73" s="227" t="s">
        <v>271</v>
      </c>
      <c r="C73" s="228"/>
      <c r="D73" s="228"/>
      <c r="E73" s="228"/>
      <c r="F73" s="228"/>
      <c r="G73" s="228"/>
      <c r="H73" s="73">
        <f>Основное!$C$11*Основное!K36</f>
        <v>11722.199288532292</v>
      </c>
      <c r="I73" s="41"/>
    </row>
    <row r="74" spans="1:11" ht="15">
      <c r="A74" s="51"/>
      <c r="B74" s="156" t="s">
        <v>353</v>
      </c>
      <c r="C74" s="90"/>
      <c r="D74" s="90"/>
      <c r="E74" s="90"/>
      <c r="F74" s="90"/>
      <c r="G74" s="90"/>
      <c r="H74" s="73">
        <f>Основное!$C$11*Основное!O36</f>
        <v>11253.311316991003</v>
      </c>
      <c r="I74" s="41"/>
    </row>
    <row r="75" spans="1:11" ht="15">
      <c r="A75" s="51"/>
      <c r="B75" s="67" t="s">
        <v>272</v>
      </c>
      <c r="C75" s="158"/>
      <c r="D75" s="158"/>
      <c r="E75" s="158"/>
      <c r="F75" s="158"/>
      <c r="G75" s="158"/>
      <c r="H75" s="73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3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3">
        <f>Основное!$C$11*Основное!H40</f>
        <v>284650.1154417306</v>
      </c>
      <c r="I77" s="41"/>
    </row>
    <row r="78" spans="1:11" ht="15">
      <c r="A78" s="51">
        <v>5</v>
      </c>
      <c r="B78" s="67" t="s">
        <v>170</v>
      </c>
      <c r="C78" s="68"/>
      <c r="D78" s="68"/>
      <c r="E78" s="68"/>
      <c r="F78" s="68"/>
      <c r="G78" s="68"/>
      <c r="H78" s="73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3">
        <f>Основное!$C$11*Основное!H42</f>
        <v>136259.19370179309</v>
      </c>
      <c r="I79" s="41"/>
    </row>
    <row r="80" spans="1:11" ht="15">
      <c r="A80" s="51">
        <v>7</v>
      </c>
      <c r="B80" s="67" t="s">
        <v>132</v>
      </c>
      <c r="C80" s="68"/>
      <c r="D80" s="68"/>
      <c r="E80" s="68"/>
      <c r="F80" s="68"/>
      <c r="G80" s="68"/>
      <c r="H80" s="73">
        <f>Основное!$C$11*Основное!H43</f>
        <v>339757.62086639483</v>
      </c>
      <c r="I80" s="41"/>
    </row>
    <row r="81" spans="1:13" ht="15">
      <c r="A81" s="51">
        <v>8</v>
      </c>
      <c r="B81" s="67" t="s">
        <v>137</v>
      </c>
      <c r="C81" s="68"/>
      <c r="D81" s="68"/>
      <c r="E81" s="68"/>
      <c r="F81" s="68"/>
      <c r="G81" s="68"/>
      <c r="H81" s="73">
        <f>Основное!$C$11*Основное!H44</f>
        <v>70493.8646839953</v>
      </c>
      <c r="I81" s="41"/>
    </row>
    <row r="82" spans="1:13" ht="15">
      <c r="A82" s="51">
        <v>9</v>
      </c>
      <c r="B82" s="67" t="s">
        <v>129</v>
      </c>
      <c r="C82" s="68"/>
      <c r="D82" s="68"/>
      <c r="E82" s="68"/>
      <c r="F82" s="68"/>
      <c r="G82" s="68"/>
      <c r="H82" s="73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135</v>
      </c>
      <c r="C83" s="68"/>
      <c r="D83" s="68"/>
      <c r="E83" s="68"/>
      <c r="F83" s="68"/>
      <c r="G83" s="68"/>
      <c r="H83" s="73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3">
        <f>Основное!$C$11*Основное!H47</f>
        <v>773774.04479226703</v>
      </c>
      <c r="I84" s="41"/>
    </row>
    <row r="85" spans="1:13" ht="15">
      <c r="A85" s="51">
        <v>12</v>
      </c>
      <c r="B85" s="67" t="s">
        <v>128</v>
      </c>
      <c r="C85" s="68"/>
      <c r="D85" s="68"/>
      <c r="E85" s="68"/>
      <c r="F85" s="68"/>
      <c r="G85" s="68"/>
      <c r="H85" s="73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122</v>
      </c>
      <c r="C86" s="68"/>
      <c r="D86" s="68"/>
      <c r="E86" s="68"/>
      <c r="F86" s="68"/>
      <c r="G86" s="68"/>
      <c r="H86" s="73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3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9" t="s">
        <v>257</v>
      </c>
      <c r="B89" s="219"/>
      <c r="C89" s="219"/>
      <c r="D89" s="219"/>
      <c r="E89" s="219"/>
      <c r="F89" s="219"/>
      <c r="G89" s="219"/>
      <c r="H89" s="219"/>
      <c r="I89" s="84"/>
      <c r="J89" s="84"/>
    </row>
    <row r="90" spans="1:13" s="44" customFormat="1">
      <c r="A90" s="21"/>
      <c r="B90" s="247"/>
      <c r="C90" s="247"/>
      <c r="D90" s="247"/>
      <c r="E90" s="247"/>
      <c r="F90" s="247"/>
      <c r="G90" s="247"/>
      <c r="H90" s="247"/>
      <c r="I90" s="53"/>
      <c r="J90" s="53"/>
    </row>
    <row r="91" spans="1:13" s="44" customFormat="1" ht="15.75">
      <c r="A91" s="210" t="s">
        <v>273</v>
      </c>
      <c r="B91" s="210"/>
      <c r="C91" s="210"/>
      <c r="D91" s="210"/>
      <c r="E91" s="210"/>
      <c r="F91" s="210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159</v>
      </c>
      <c r="H92" s="53"/>
      <c r="I92" s="53"/>
      <c r="J92" s="53"/>
    </row>
    <row r="93" spans="1:13" s="44" customFormat="1" ht="34.5" customHeight="1">
      <c r="A93" s="95" t="s">
        <v>207</v>
      </c>
      <c r="B93" s="128" t="s">
        <v>228</v>
      </c>
      <c r="C93" s="92" t="s">
        <v>160</v>
      </c>
      <c r="D93" s="97" t="s">
        <v>161</v>
      </c>
      <c r="E93" s="147" t="s">
        <v>240</v>
      </c>
      <c r="F93" s="100" t="s">
        <v>208</v>
      </c>
      <c r="G93" s="98"/>
      <c r="H93" s="99"/>
      <c r="I93" s="54"/>
      <c r="J93" s="53"/>
      <c r="K93" s="53"/>
      <c r="L93" s="53"/>
    </row>
    <row r="94" spans="1:13" s="44" customFormat="1" ht="15">
      <c r="A94" s="96">
        <v>2993.76</v>
      </c>
      <c r="B94" s="96">
        <v>12960</v>
      </c>
      <c r="C94" s="101">
        <v>14172</v>
      </c>
      <c r="D94" s="102">
        <v>12000</v>
      </c>
      <c r="E94" s="102">
        <v>6000</v>
      </c>
      <c r="F94" s="102">
        <f>SUM(A94:E94)</f>
        <v>48125.760000000002</v>
      </c>
      <c r="G94" s="93"/>
      <c r="H94" s="94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8" t="s">
        <v>372</v>
      </c>
      <c r="B96" s="248"/>
      <c r="C96" s="248"/>
      <c r="D96" s="248"/>
      <c r="E96" s="248"/>
      <c r="F96" s="248"/>
      <c r="G96" s="248"/>
      <c r="H96" s="248"/>
      <c r="I96" s="57"/>
      <c r="J96" s="57"/>
      <c r="K96" s="57"/>
      <c r="L96" s="57"/>
      <c r="M96" s="57"/>
    </row>
    <row r="97" spans="1:16" ht="66" customHeight="1">
      <c r="A97" s="246" t="s">
        <v>373</v>
      </c>
      <c r="B97" s="246"/>
      <c r="C97" s="246"/>
      <c r="D97" s="246"/>
      <c r="E97" s="246"/>
      <c r="F97" s="246"/>
      <c r="G97" s="246"/>
      <c r="H97" s="246"/>
      <c r="I97" s="76"/>
      <c r="J97" s="76"/>
      <c r="K97" s="76"/>
      <c r="L97" s="76"/>
      <c r="M97" s="76"/>
      <c r="N97" s="76"/>
      <c r="O97" s="76"/>
      <c r="P97" s="76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2" t="s">
        <v>70</v>
      </c>
      <c r="B99" s="242"/>
      <c r="C99" s="242"/>
      <c r="D99" s="242"/>
      <c r="E99" s="242"/>
      <c r="F99" s="242"/>
      <c r="G99" s="242"/>
      <c r="H99" s="242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242" t="s">
        <v>140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243" t="s">
        <v>141</v>
      </c>
      <c r="B101" s="243"/>
      <c r="C101" s="243"/>
      <c r="D101" s="243"/>
      <c r="E101" s="243"/>
      <c r="F101" s="243"/>
      <c r="G101" s="243"/>
      <c r="H101" s="243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4" t="s">
        <v>194</v>
      </c>
      <c r="B102" s="244"/>
      <c r="C102" s="244"/>
      <c r="D102" s="244"/>
      <c r="E102" s="244"/>
      <c r="F102" s="244"/>
      <c r="G102" s="244"/>
      <c r="H102" s="244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236" t="s">
        <v>164</v>
      </c>
      <c r="B103" s="236"/>
      <c r="C103" s="236"/>
      <c r="D103" s="236"/>
      <c r="E103" s="236"/>
      <c r="F103" s="236"/>
      <c r="G103" s="236"/>
      <c r="H103" s="236"/>
      <c r="I103" s="150"/>
      <c r="J103" s="150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195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240" t="s">
        <v>280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.75" customHeight="1">
      <c r="A7" s="39" t="s">
        <v>265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264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9" t="s">
        <v>311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</row>
    <row r="20" spans="1:24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3"/>
    </row>
    <row r="21" spans="1:24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246</v>
      </c>
      <c r="F21" s="256" t="s">
        <v>224</v>
      </c>
      <c r="G21" s="187" t="s">
        <v>146</v>
      </c>
      <c r="H21" s="221" t="s">
        <v>147</v>
      </c>
      <c r="I21" s="82"/>
    </row>
    <row r="22" spans="1:24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24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24" s="112" customFormat="1" ht="14.25">
      <c r="A24" s="190">
        <v>-115748.96171035997</v>
      </c>
      <c r="B24" s="191"/>
      <c r="C24" s="80">
        <v>171023.49</v>
      </c>
      <c r="D24" s="80">
        <v>172579.88</v>
      </c>
      <c r="E24" s="80">
        <v>37610</v>
      </c>
      <c r="F24" s="81">
        <f>C24-D24</f>
        <v>-1556.390000000014</v>
      </c>
      <c r="G24" s="81">
        <v>73772.83</v>
      </c>
      <c r="H24" s="110">
        <f>A24+D24+E24-G24-F24</f>
        <v>22224.478289640043</v>
      </c>
      <c r="J24" s="111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216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239"/>
      <c r="J28" s="239"/>
      <c r="K28" s="66"/>
      <c r="L28" s="66"/>
    </row>
    <row r="29" spans="1:24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210"/>
      <c r="J31" s="210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</row>
    <row r="32" spans="1:24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23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23" s="44" customFormat="1" ht="15" customHeight="1">
      <c r="A34" s="213" t="s">
        <v>196</v>
      </c>
      <c r="B34" s="267"/>
      <c r="C34" s="67" t="s">
        <v>359</v>
      </c>
      <c r="D34" s="68"/>
      <c r="E34" s="68"/>
      <c r="F34" s="68"/>
      <c r="G34" s="68"/>
      <c r="H34" s="114">
        <f>1550+810+304+663+154+11372+487</f>
        <v>15340</v>
      </c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</row>
    <row r="35" spans="1:23" s="44" customFormat="1" ht="15" customHeight="1">
      <c r="A35" s="213"/>
      <c r="B35" s="267"/>
      <c r="C35" s="67" t="s">
        <v>349</v>
      </c>
      <c r="D35" s="68"/>
      <c r="E35" s="68"/>
      <c r="F35" s="68"/>
      <c r="G35" s="151"/>
      <c r="H35" s="114">
        <f>667+9200</f>
        <v>9867</v>
      </c>
      <c r="M35" s="77"/>
      <c r="N35" s="77"/>
      <c r="O35" s="77"/>
      <c r="P35" s="77"/>
      <c r="Q35" s="77"/>
      <c r="R35" s="77"/>
      <c r="S35" s="77"/>
    </row>
    <row r="36" spans="1:23" s="44" customFormat="1" ht="15" customHeight="1">
      <c r="A36" s="213"/>
      <c r="B36" s="267"/>
      <c r="C36" s="67" t="s">
        <v>158</v>
      </c>
      <c r="D36" s="68"/>
      <c r="E36" s="68"/>
      <c r="F36" s="68"/>
      <c r="G36" s="68"/>
      <c r="H36" s="114">
        <v>21133</v>
      </c>
      <c r="L36" s="77"/>
      <c r="M36" s="77"/>
      <c r="N36" s="77"/>
      <c r="O36" s="77"/>
      <c r="P36" s="77"/>
      <c r="Q36" s="77"/>
      <c r="R36" s="77"/>
      <c r="S36" s="77"/>
    </row>
    <row r="37" spans="1:23" s="44" customFormat="1" ht="15" customHeight="1">
      <c r="A37" s="213"/>
      <c r="B37" s="267"/>
      <c r="C37" s="67" t="s">
        <v>210</v>
      </c>
      <c r="D37" s="68"/>
      <c r="E37" s="68"/>
      <c r="F37" s="68"/>
      <c r="G37" s="151"/>
      <c r="H37" s="114">
        <v>15183</v>
      </c>
      <c r="L37" s="77"/>
      <c r="M37" s="77"/>
      <c r="N37" s="77"/>
      <c r="O37" s="77"/>
      <c r="P37" s="77"/>
      <c r="Q37" s="77"/>
      <c r="R37" s="77"/>
      <c r="S37" s="77"/>
    </row>
    <row r="38" spans="1:23" s="44" customFormat="1" ht="15" customHeight="1">
      <c r="A38" s="213"/>
      <c r="B38" s="267"/>
      <c r="C38" s="67" t="s">
        <v>358</v>
      </c>
      <c r="D38" s="68"/>
      <c r="E38" s="68"/>
      <c r="F38" s="68"/>
      <c r="G38" s="68"/>
      <c r="H38" s="114">
        <f>5825+6425</f>
        <v>12250</v>
      </c>
      <c r="L38" s="77"/>
      <c r="M38" s="77"/>
      <c r="N38" s="77"/>
      <c r="O38" s="77"/>
      <c r="P38" s="77"/>
      <c r="Q38" s="77"/>
      <c r="R38" s="77"/>
      <c r="S38" s="77"/>
    </row>
    <row r="39" spans="1:23" s="44" customFormat="1" ht="15">
      <c r="A39" s="213"/>
      <c r="B39" s="267"/>
      <c r="C39" s="85"/>
      <c r="D39" s="86"/>
      <c r="E39" s="86"/>
      <c r="F39" s="86"/>
      <c r="G39" s="86"/>
      <c r="H39" s="115">
        <f>SUM(H34:H38)</f>
        <v>73773</v>
      </c>
      <c r="L39" s="77"/>
      <c r="M39" s="77"/>
      <c r="N39" s="77"/>
      <c r="O39" s="77"/>
      <c r="P39" s="77"/>
      <c r="Q39" s="77"/>
      <c r="R39" s="77"/>
      <c r="S39" s="77"/>
    </row>
    <row r="40" spans="1:23" s="44" customFormat="1" ht="15">
      <c r="A40" s="213"/>
      <c r="B40" s="267"/>
      <c r="C40" s="202" t="s">
        <v>369</v>
      </c>
      <c r="D40" s="203"/>
      <c r="E40" s="203"/>
      <c r="F40" s="203"/>
      <c r="G40" s="204"/>
      <c r="H40" s="115"/>
      <c r="L40" s="77"/>
      <c r="M40" s="77"/>
      <c r="N40" s="77"/>
      <c r="O40" s="77"/>
      <c r="P40" s="77"/>
      <c r="Q40" s="77"/>
      <c r="R40" s="77"/>
      <c r="S40" s="77"/>
    </row>
    <row r="41" spans="1:23" s="44" customFormat="1" ht="15">
      <c r="A41" s="213"/>
      <c r="B41" s="267"/>
      <c r="C41" s="67" t="s">
        <v>254</v>
      </c>
      <c r="D41" s="86"/>
      <c r="E41" s="86"/>
      <c r="F41" s="86"/>
      <c r="G41" s="86"/>
      <c r="H41" s="114">
        <f>820+548</f>
        <v>1368</v>
      </c>
      <c r="L41" s="77"/>
      <c r="M41" s="77"/>
      <c r="N41" s="77"/>
      <c r="O41" s="77"/>
      <c r="P41" s="77"/>
      <c r="Q41" s="77"/>
      <c r="R41" s="77"/>
    </row>
    <row r="42" spans="1:23" s="44" customFormat="1" ht="15">
      <c r="A42" s="213"/>
      <c r="B42" s="267"/>
      <c r="C42" s="67" t="s">
        <v>360</v>
      </c>
      <c r="D42" s="86"/>
      <c r="E42" s="86"/>
      <c r="F42" s="86"/>
      <c r="G42" s="86"/>
      <c r="H42" s="114">
        <f>2465+8836</f>
        <v>11301</v>
      </c>
      <c r="L42" s="77"/>
      <c r="M42" s="77"/>
      <c r="N42" s="77"/>
      <c r="O42" s="77"/>
      <c r="P42" s="77"/>
      <c r="Q42" s="77"/>
      <c r="R42" s="77"/>
    </row>
    <row r="43" spans="1:23" s="44" customFormat="1" ht="15">
      <c r="A43" s="213"/>
      <c r="B43" s="267"/>
      <c r="C43" s="67" t="s">
        <v>158</v>
      </c>
      <c r="D43" s="86"/>
      <c r="E43" s="86"/>
      <c r="F43" s="86"/>
      <c r="G43" s="86"/>
      <c r="H43" s="114">
        <v>28729</v>
      </c>
      <c r="L43" s="77"/>
      <c r="M43" s="77"/>
      <c r="N43" s="77"/>
      <c r="O43" s="77"/>
      <c r="P43" s="77"/>
      <c r="Q43" s="77"/>
      <c r="R43" s="77"/>
    </row>
    <row r="44" spans="1:23" s="44" customFormat="1" ht="15">
      <c r="A44" s="215"/>
      <c r="B44" s="268"/>
      <c r="C44" s="67" t="s">
        <v>255</v>
      </c>
      <c r="D44" s="125"/>
      <c r="E44" s="125"/>
      <c r="F44" s="125"/>
      <c r="G44" s="125"/>
      <c r="H44" s="114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9" t="s">
        <v>312</v>
      </c>
      <c r="B46" s="239"/>
      <c r="C46" s="239"/>
      <c r="D46" s="239"/>
      <c r="E46" s="239"/>
      <c r="F46" s="239"/>
      <c r="G46" s="239"/>
      <c r="H46" s="239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41" t="s">
        <v>370</v>
      </c>
      <c r="B48" s="241"/>
      <c r="C48" s="241"/>
      <c r="D48" s="241"/>
      <c r="E48" s="241"/>
      <c r="F48" s="241"/>
      <c r="G48" s="241"/>
      <c r="H48" s="241"/>
      <c r="I48" s="104"/>
      <c r="J48" s="104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1" t="s">
        <v>156</v>
      </c>
      <c r="J49" s="47"/>
      <c r="K49" s="47"/>
      <c r="L49" s="47"/>
    </row>
    <row r="50" spans="1:12" ht="15.75">
      <c r="A50" s="205" t="s">
        <v>18</v>
      </c>
      <c r="B50" s="207"/>
      <c r="C50" s="205" t="s">
        <v>368</v>
      </c>
      <c r="D50" s="206"/>
      <c r="E50" s="206"/>
      <c r="F50" s="206"/>
      <c r="G50" s="207"/>
      <c r="H50" s="46" t="s">
        <v>155</v>
      </c>
      <c r="I50" s="47"/>
      <c r="J50" s="47"/>
    </row>
    <row r="51" spans="1:12" ht="15" customHeight="1">
      <c r="A51" s="211" t="s">
        <v>196</v>
      </c>
      <c r="B51" s="212"/>
      <c r="C51" s="230" t="s">
        <v>361</v>
      </c>
      <c r="D51" s="231"/>
      <c r="E51" s="231"/>
      <c r="F51" s="231"/>
      <c r="G51" s="232"/>
      <c r="H51" s="88">
        <f>1047+951+636+555+457+1751+485+803+1593+902+879</f>
        <v>10059</v>
      </c>
      <c r="I51" s="47"/>
      <c r="J51" s="47"/>
    </row>
    <row r="52" spans="1:12" ht="15" customHeight="1">
      <c r="A52" s="213"/>
      <c r="B52" s="214"/>
      <c r="C52" s="230" t="s">
        <v>320</v>
      </c>
      <c r="D52" s="231"/>
      <c r="E52" s="231"/>
      <c r="F52" s="231"/>
      <c r="G52" s="232"/>
      <c r="H52" s="88">
        <f>605+605</f>
        <v>1210</v>
      </c>
      <c r="I52" s="47"/>
      <c r="J52" s="47"/>
    </row>
    <row r="53" spans="1:12" ht="15" customHeight="1">
      <c r="A53" s="213"/>
      <c r="B53" s="214"/>
      <c r="C53" s="67" t="s">
        <v>130</v>
      </c>
      <c r="D53" s="90"/>
      <c r="E53" s="90"/>
      <c r="F53" s="90"/>
      <c r="G53" s="91"/>
      <c r="H53" s="88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3"/>
      <c r="B54" s="214"/>
      <c r="C54" s="202" t="s">
        <v>369</v>
      </c>
      <c r="D54" s="203"/>
      <c r="E54" s="203"/>
      <c r="F54" s="203"/>
      <c r="G54" s="204"/>
      <c r="H54" s="10"/>
      <c r="I54" s="47"/>
      <c r="J54" s="47"/>
    </row>
    <row r="55" spans="1:12" ht="14.25">
      <c r="A55" s="215"/>
      <c r="B55" s="216"/>
      <c r="C55" s="227" t="s">
        <v>157</v>
      </c>
      <c r="D55" s="228"/>
      <c r="E55" s="228"/>
      <c r="F55" s="228"/>
      <c r="G55" s="228"/>
      <c r="H55" s="73">
        <v>9584.33</v>
      </c>
      <c r="I55" s="36"/>
      <c r="J55" s="36"/>
    </row>
    <row r="56" spans="1:12" ht="15">
      <c r="A56" s="79"/>
      <c r="B56" s="79"/>
      <c r="C56" s="108"/>
      <c r="D56" s="108"/>
      <c r="E56" s="108"/>
      <c r="F56" s="108"/>
      <c r="G56" s="108"/>
      <c r="H56" s="36"/>
      <c r="I56" s="36"/>
      <c r="J56" s="36"/>
    </row>
    <row r="57" spans="1:12">
      <c r="A57" s="77" t="s">
        <v>28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ht="18" customHeight="1">
      <c r="A58" s="245" t="s">
        <v>17</v>
      </c>
      <c r="B58" s="245"/>
      <c r="C58" s="245"/>
      <c r="D58" s="245"/>
      <c r="E58" s="245"/>
      <c r="F58" s="245"/>
      <c r="G58" s="245"/>
      <c r="H58" s="245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8" t="s">
        <v>15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2" ht="15.75">
      <c r="A61" s="14"/>
      <c r="B61" s="14"/>
      <c r="C61" s="14"/>
      <c r="D61" s="14"/>
      <c r="E61" s="14"/>
      <c r="F61" s="14"/>
      <c r="G61" s="14"/>
      <c r="H61" s="71" t="s">
        <v>162</v>
      </c>
      <c r="J61" s="14"/>
    </row>
    <row r="62" spans="1:12" ht="15.75">
      <c r="A62" s="208" t="s">
        <v>16</v>
      </c>
      <c r="B62" s="208"/>
      <c r="C62" s="208"/>
      <c r="D62" s="208"/>
      <c r="E62" s="208"/>
      <c r="F62" s="208"/>
      <c r="G62" s="209"/>
      <c r="H62" s="74">
        <f>SUM(H76:H87)+H64+H70</f>
        <v>1782901.3470353205</v>
      </c>
      <c r="I62" s="72"/>
      <c r="J62" s="72"/>
    </row>
    <row r="63" spans="1:12" ht="15">
      <c r="A63" s="50" t="s">
        <v>4</v>
      </c>
      <c r="B63" s="199" t="s">
        <v>5</v>
      </c>
      <c r="C63" s="200"/>
      <c r="D63" s="200"/>
      <c r="E63" s="200"/>
      <c r="F63" s="200"/>
      <c r="G63" s="201"/>
      <c r="H63" s="75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SUM(H65:H69)</f>
        <v>54252.843758588591</v>
      </c>
      <c r="I64" s="41"/>
      <c r="K64" s="129">
        <f>Основное!$C$12*Основное!K35</f>
        <v>21004.843758588591</v>
      </c>
    </row>
    <row r="65" spans="1:9" ht="15">
      <c r="A65" s="51"/>
      <c r="B65" s="67" t="s">
        <v>203</v>
      </c>
      <c r="C65" s="68"/>
      <c r="D65" s="68"/>
      <c r="E65" s="68"/>
      <c r="F65" s="68"/>
      <c r="G65" s="68"/>
      <c r="H65" s="73">
        <f>980+439+102+362+84+7313+253</f>
        <v>9533</v>
      </c>
      <c r="I65" s="41"/>
    </row>
    <row r="66" spans="1:9" ht="15">
      <c r="A66" s="51"/>
      <c r="B66" s="67" t="s">
        <v>316</v>
      </c>
      <c r="C66" s="68"/>
      <c r="D66" s="68"/>
      <c r="E66" s="68"/>
      <c r="F66" s="68"/>
      <c r="G66" s="68"/>
      <c r="H66" s="73">
        <f>667+4950+5550+3518</f>
        <v>14685</v>
      </c>
      <c r="I66" s="41"/>
    </row>
    <row r="67" spans="1:9" ht="15">
      <c r="A67" s="51"/>
      <c r="B67" s="67" t="s">
        <v>211</v>
      </c>
      <c r="C67" s="68"/>
      <c r="D67" s="68"/>
      <c r="E67" s="68"/>
      <c r="F67" s="68"/>
      <c r="G67" s="68"/>
      <c r="H67" s="73">
        <v>4838</v>
      </c>
      <c r="I67" s="41"/>
    </row>
    <row r="68" spans="1:9" ht="15">
      <c r="A68" s="51"/>
      <c r="B68" s="67" t="s">
        <v>206</v>
      </c>
      <c r="C68" s="68"/>
      <c r="D68" s="68"/>
      <c r="E68" s="68"/>
      <c r="F68" s="68"/>
      <c r="G68" s="68"/>
      <c r="H68" s="73">
        <f>408+381+301+254+188+713+219+265+688+434+341</f>
        <v>4192</v>
      </c>
      <c r="I68" s="41"/>
    </row>
    <row r="69" spans="1:9" ht="49.5" customHeight="1">
      <c r="A69" s="51"/>
      <c r="B69" s="222" t="s">
        <v>226</v>
      </c>
      <c r="C69" s="223"/>
      <c r="D69" s="223"/>
      <c r="E69" s="223"/>
      <c r="F69" s="223"/>
      <c r="G69" s="223"/>
      <c r="H69" s="73">
        <f>K64</f>
        <v>21004.843758588591</v>
      </c>
      <c r="I69" s="41"/>
    </row>
    <row r="70" spans="1:9" ht="15.75">
      <c r="A70" s="51" t="s">
        <v>9</v>
      </c>
      <c r="B70" s="67" t="s">
        <v>136</v>
      </c>
      <c r="C70" s="68"/>
      <c r="D70" s="68"/>
      <c r="E70" s="68"/>
      <c r="F70" s="68"/>
      <c r="G70" s="68"/>
      <c r="H70" s="87">
        <f>SUM(H71:H75)</f>
        <v>71923.406881215182</v>
      </c>
      <c r="I70" s="41"/>
    </row>
    <row r="71" spans="1:9" ht="15">
      <c r="A71" s="51"/>
      <c r="B71" s="227" t="s">
        <v>318</v>
      </c>
      <c r="C71" s="228"/>
      <c r="D71" s="228"/>
      <c r="E71" s="228"/>
      <c r="F71" s="228"/>
      <c r="G71" s="229"/>
      <c r="H71" s="73">
        <v>10345</v>
      </c>
      <c r="I71" s="41"/>
    </row>
    <row r="72" spans="1:9" ht="15">
      <c r="A72" s="51"/>
      <c r="B72" s="67" t="s">
        <v>213</v>
      </c>
      <c r="C72" s="68"/>
      <c r="D72" s="68"/>
      <c r="E72" s="68"/>
      <c r="F72" s="68"/>
      <c r="G72" s="68"/>
      <c r="H72" s="73">
        <f>17700+17700</f>
        <v>35400</v>
      </c>
      <c r="I72" s="41"/>
    </row>
    <row r="73" spans="1:9" ht="15">
      <c r="A73" s="51"/>
      <c r="B73" s="227" t="s">
        <v>271</v>
      </c>
      <c r="C73" s="228"/>
      <c r="D73" s="228"/>
      <c r="E73" s="228"/>
      <c r="F73" s="228"/>
      <c r="G73" s="228"/>
      <c r="H73" s="73">
        <f>Основное!$C$12*Основное!K36</f>
        <v>10025.954395511029</v>
      </c>
      <c r="I73" s="41"/>
    </row>
    <row r="74" spans="1:9" ht="15">
      <c r="A74" s="51"/>
      <c r="B74" s="156" t="s">
        <v>353</v>
      </c>
      <c r="C74" s="90"/>
      <c r="D74" s="90"/>
      <c r="E74" s="90"/>
      <c r="F74" s="90"/>
      <c r="G74" s="90"/>
      <c r="H74" s="73">
        <f>Основное!$C$12*Основное!O36</f>
        <v>9624.9162196905891</v>
      </c>
      <c r="I74" s="41"/>
    </row>
    <row r="75" spans="1:9" ht="15">
      <c r="A75" s="51"/>
      <c r="B75" s="67" t="s">
        <v>272</v>
      </c>
      <c r="C75" s="158"/>
      <c r="D75" s="158"/>
      <c r="E75" s="158"/>
      <c r="F75" s="158"/>
      <c r="G75" s="158"/>
      <c r="H75" s="73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3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3">
        <f>Основное!$C$12*Основное!H40</f>
        <v>243460.20792255862</v>
      </c>
      <c r="I77" s="41"/>
    </row>
    <row r="78" spans="1:9" ht="15">
      <c r="A78" s="51">
        <v>5</v>
      </c>
      <c r="B78" s="67" t="s">
        <v>170</v>
      </c>
      <c r="C78" s="68"/>
      <c r="D78" s="68"/>
      <c r="E78" s="68"/>
      <c r="F78" s="68"/>
      <c r="G78" s="68"/>
      <c r="H78" s="73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3">
        <f>Основное!$C$12*Основное!H42</f>
        <v>116541.9925388703</v>
      </c>
      <c r="I79" s="41"/>
    </row>
    <row r="80" spans="1:9" ht="15">
      <c r="A80" s="51">
        <v>7</v>
      </c>
      <c r="B80" s="67" t="s">
        <v>132</v>
      </c>
      <c r="C80" s="68"/>
      <c r="D80" s="68"/>
      <c r="E80" s="68"/>
      <c r="F80" s="68"/>
      <c r="G80" s="68"/>
      <c r="H80" s="73">
        <f>Основное!$C$12*Основное!H43</f>
        <v>290593.45678129204</v>
      </c>
      <c r="I80" s="41"/>
    </row>
    <row r="81" spans="1:13" ht="15">
      <c r="A81" s="51">
        <v>8</v>
      </c>
      <c r="B81" s="67" t="s">
        <v>137</v>
      </c>
      <c r="C81" s="68"/>
      <c r="D81" s="68"/>
      <c r="E81" s="68"/>
      <c r="F81" s="68"/>
      <c r="G81" s="68"/>
      <c r="H81" s="73">
        <f>Основное!$C$12*Основное!H44</f>
        <v>60293.145943738273</v>
      </c>
      <c r="I81" s="41"/>
    </row>
    <row r="82" spans="1:13" ht="15">
      <c r="A82" s="51">
        <v>9</v>
      </c>
      <c r="B82" s="67" t="s">
        <v>129</v>
      </c>
      <c r="C82" s="68"/>
      <c r="D82" s="68"/>
      <c r="E82" s="68"/>
      <c r="F82" s="68"/>
      <c r="G82" s="68"/>
      <c r="H82" s="73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135</v>
      </c>
      <c r="C83" s="68"/>
      <c r="D83" s="68"/>
      <c r="E83" s="68"/>
      <c r="F83" s="68"/>
      <c r="G83" s="68"/>
      <c r="H83" s="73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3">
        <f>Основное!$C$12*Основное!H47</f>
        <v>661806.12482051703</v>
      </c>
      <c r="I84" s="41"/>
    </row>
    <row r="85" spans="1:13" ht="15">
      <c r="A85" s="51">
        <v>12</v>
      </c>
      <c r="B85" s="67" t="s">
        <v>128</v>
      </c>
      <c r="C85" s="68"/>
      <c r="D85" s="68"/>
      <c r="E85" s="68"/>
      <c r="F85" s="68"/>
      <c r="G85" s="68"/>
      <c r="H85" s="73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122</v>
      </c>
      <c r="C86" s="68"/>
      <c r="D86" s="68"/>
      <c r="E86" s="68"/>
      <c r="F86" s="68"/>
      <c r="G86" s="68"/>
      <c r="H86" s="73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3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9" t="s">
        <v>259</v>
      </c>
      <c r="B89" s="219"/>
      <c r="C89" s="219"/>
      <c r="D89" s="219"/>
      <c r="E89" s="219"/>
      <c r="F89" s="219"/>
      <c r="G89" s="219"/>
      <c r="H89" s="219"/>
      <c r="I89" s="84"/>
      <c r="J89" s="84"/>
    </row>
    <row r="90" spans="1:13" s="44" customFormat="1">
      <c r="A90" s="21"/>
      <c r="B90" s="247"/>
      <c r="C90" s="247"/>
      <c r="D90" s="247"/>
      <c r="E90" s="247"/>
      <c r="F90" s="247"/>
      <c r="G90" s="247"/>
      <c r="H90" s="247"/>
      <c r="I90" s="53"/>
      <c r="J90" s="53"/>
    </row>
    <row r="91" spans="1:13" s="44" customFormat="1" ht="15.75">
      <c r="A91" s="210" t="s">
        <v>273</v>
      </c>
      <c r="B91" s="210"/>
      <c r="C91" s="210"/>
      <c r="D91" s="210"/>
      <c r="E91" s="210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159</v>
      </c>
      <c r="F92" s="54"/>
      <c r="H92" s="53"/>
      <c r="I92" s="53"/>
      <c r="J92" s="53"/>
    </row>
    <row r="93" spans="1:13" s="44" customFormat="1" ht="34.5" customHeight="1">
      <c r="A93" s="128" t="s">
        <v>228</v>
      </c>
      <c r="B93" s="92" t="s">
        <v>160</v>
      </c>
      <c r="C93" s="97" t="s">
        <v>161</v>
      </c>
      <c r="D93" s="147" t="s">
        <v>240</v>
      </c>
      <c r="E93" s="100" t="s">
        <v>208</v>
      </c>
      <c r="F93" s="98"/>
      <c r="G93" s="99"/>
      <c r="H93" s="54"/>
      <c r="I93" s="53"/>
      <c r="J93" s="53"/>
      <c r="K93" s="53"/>
    </row>
    <row r="94" spans="1:13" s="44" customFormat="1" ht="15">
      <c r="A94" s="96">
        <v>10800</v>
      </c>
      <c r="B94" s="101">
        <v>11810</v>
      </c>
      <c r="C94" s="102">
        <v>12000</v>
      </c>
      <c r="D94" s="102">
        <v>3000</v>
      </c>
      <c r="E94" s="102">
        <f>SUM(A94:D94)</f>
        <v>37610</v>
      </c>
      <c r="F94" s="93"/>
      <c r="G94" s="94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8" t="s">
        <v>372</v>
      </c>
      <c r="B96" s="248"/>
      <c r="C96" s="248"/>
      <c r="D96" s="248"/>
      <c r="E96" s="248"/>
      <c r="F96" s="248"/>
      <c r="G96" s="248"/>
      <c r="H96" s="248"/>
      <c r="I96" s="57"/>
      <c r="J96" s="57"/>
      <c r="K96" s="57"/>
      <c r="L96" s="57"/>
      <c r="M96" s="57"/>
    </row>
    <row r="97" spans="1:16" ht="66" customHeight="1">
      <c r="A97" s="246" t="s">
        <v>373</v>
      </c>
      <c r="B97" s="246"/>
      <c r="C97" s="246"/>
      <c r="D97" s="246"/>
      <c r="E97" s="246"/>
      <c r="F97" s="246"/>
      <c r="G97" s="246"/>
      <c r="H97" s="246"/>
      <c r="I97" s="76"/>
      <c r="J97" s="76"/>
      <c r="K97" s="76"/>
      <c r="L97" s="76"/>
      <c r="M97" s="76"/>
      <c r="N97" s="76"/>
      <c r="O97" s="76"/>
      <c r="P97" s="76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2" t="s">
        <v>70</v>
      </c>
      <c r="B99" s="242"/>
      <c r="C99" s="242"/>
      <c r="D99" s="242"/>
      <c r="E99" s="242"/>
      <c r="F99" s="242"/>
      <c r="G99" s="242"/>
      <c r="H99" s="242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242" t="s">
        <v>140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243" t="s">
        <v>141</v>
      </c>
      <c r="B101" s="243"/>
      <c r="C101" s="243"/>
      <c r="D101" s="243"/>
      <c r="E101" s="243"/>
      <c r="F101" s="243"/>
      <c r="G101" s="243"/>
      <c r="H101" s="243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4" t="s">
        <v>194</v>
      </c>
      <c r="B102" s="244"/>
      <c r="C102" s="244"/>
      <c r="D102" s="244"/>
      <c r="E102" s="244"/>
      <c r="F102" s="244"/>
      <c r="G102" s="244"/>
      <c r="H102" s="244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236" t="s">
        <v>164</v>
      </c>
      <c r="B103" s="236"/>
      <c r="C103" s="236"/>
      <c r="D103" s="236"/>
      <c r="E103" s="236"/>
      <c r="F103" s="236"/>
      <c r="G103" s="236"/>
      <c r="H103" s="236"/>
      <c r="I103" s="150"/>
      <c r="J103" s="150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0"/>
  <dimension ref="A1:U107"/>
  <sheetViews>
    <sheetView tabSelected="1" view="pageBreakPreview" zoomScaleSheetLayoutView="100" workbookViewId="0">
      <selection sqref="A1:H1"/>
    </sheetView>
  </sheetViews>
  <sheetFormatPr defaultRowHeight="12.75"/>
  <cols>
    <col min="1" max="1" width="11.85546875" customWidth="1"/>
    <col min="2" max="2" width="12.5703125" customWidth="1"/>
    <col min="3" max="3" width="14.7109375" customWidth="1"/>
    <col min="4" max="4" width="16" customWidth="1"/>
    <col min="5" max="5" width="14.5703125" customWidth="1"/>
    <col min="6" max="6" width="14.42578125" customWidth="1"/>
    <col min="7" max="7" width="17.28515625" customWidth="1"/>
    <col min="8" max="8" width="14.140625" bestFit="1" customWidth="1"/>
    <col min="10" max="10" width="7" customWidth="1"/>
  </cols>
  <sheetData>
    <row r="1" spans="1:20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20" ht="18">
      <c r="A2" s="237" t="s">
        <v>197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20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20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7"/>
      <c r="L4" s="77"/>
      <c r="M4" s="77"/>
      <c r="N4" s="77"/>
      <c r="O4" s="77"/>
    </row>
    <row r="5" spans="1:20" s="38" customFormat="1" ht="14.25" customHeight="1">
      <c r="A5" s="39" t="s">
        <v>114</v>
      </c>
      <c r="B5" s="39"/>
      <c r="C5" s="39"/>
      <c r="D5" s="39"/>
      <c r="E5" s="240" t="s">
        <v>280</v>
      </c>
      <c r="F5" s="240"/>
      <c r="G5" s="240"/>
      <c r="H5" s="240"/>
      <c r="I5" s="66"/>
      <c r="J5" s="66"/>
      <c r="K5" s="77"/>
      <c r="L5" s="77"/>
      <c r="M5" s="77"/>
      <c r="N5" s="77"/>
      <c r="O5" s="77"/>
    </row>
    <row r="6" spans="1:20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  <c r="K6" s="77"/>
      <c r="L6" s="77"/>
      <c r="M6" s="77"/>
      <c r="N6" s="77"/>
      <c r="O6" s="77"/>
    </row>
    <row r="7" spans="1:20" s="38" customFormat="1" ht="30" customHeight="1">
      <c r="A7" s="39" t="s">
        <v>269</v>
      </c>
      <c r="B7" s="39"/>
      <c r="C7" s="39"/>
      <c r="D7" s="39"/>
      <c r="E7" s="240"/>
      <c r="F7" s="240"/>
      <c r="G7" s="240"/>
      <c r="H7" s="240"/>
      <c r="I7" s="66"/>
      <c r="J7" s="66"/>
      <c r="K7" s="77"/>
      <c r="L7" s="77"/>
      <c r="M7" s="77"/>
      <c r="N7" s="77"/>
      <c r="O7" s="77"/>
    </row>
    <row r="8" spans="1:20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  <c r="K8" s="77"/>
      <c r="L8" s="77"/>
      <c r="M8" s="77"/>
      <c r="N8" s="77"/>
      <c r="O8" s="77"/>
    </row>
    <row r="9" spans="1:20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  <c r="K9" s="77"/>
      <c r="L9" s="77"/>
      <c r="M9" s="77"/>
      <c r="N9" s="77"/>
      <c r="O9" s="77"/>
    </row>
    <row r="10" spans="1:20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  <c r="K10" s="77"/>
      <c r="L10" s="77"/>
      <c r="M10" s="77"/>
      <c r="N10" s="77"/>
      <c r="O10" s="77"/>
    </row>
    <row r="11" spans="1:20" s="38" customFormat="1" ht="14.25">
      <c r="A11" s="39" t="s">
        <v>109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  <c r="K11" s="77"/>
      <c r="L11" s="77"/>
      <c r="M11" s="77"/>
      <c r="N11" s="77"/>
      <c r="O11" s="77"/>
    </row>
    <row r="12" spans="1:20" s="38" customFormat="1" ht="14.25">
      <c r="A12" s="39" t="s">
        <v>115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  <c r="K12" s="77"/>
      <c r="L12" s="77"/>
      <c r="M12" s="77"/>
      <c r="N12" s="77"/>
      <c r="O12" s="77"/>
    </row>
    <row r="13" spans="1:20" s="38" customFormat="1" ht="14.25">
      <c r="A13" s="39" t="s">
        <v>111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  <c r="K13" s="77"/>
      <c r="L13" s="77"/>
      <c r="M13" s="77"/>
      <c r="N13" s="77"/>
      <c r="O13" s="77"/>
    </row>
    <row r="14" spans="1:20" s="38" customFormat="1" ht="14.25">
      <c r="A14" s="39" t="s">
        <v>112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20" s="38" customFormat="1" ht="14.25">
      <c r="A15" s="39" t="s">
        <v>116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  <c r="K15" s="186"/>
      <c r="L15" s="186"/>
      <c r="M15" s="186"/>
      <c r="N15" s="186"/>
      <c r="O15" s="186"/>
      <c r="P15" s="186"/>
      <c r="Q15" s="186"/>
      <c r="R15" s="186"/>
      <c r="S15" s="186"/>
      <c r="T15" s="186"/>
    </row>
    <row r="16" spans="1:20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9" t="s">
        <v>313</v>
      </c>
      <c r="B17" s="239"/>
      <c r="C17" s="239"/>
      <c r="D17" s="239"/>
      <c r="E17" s="239"/>
      <c r="F17" s="239"/>
      <c r="G17" s="239"/>
      <c r="H17" s="239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</row>
    <row r="20" spans="1:15" ht="15">
      <c r="A20" s="41"/>
      <c r="B20" s="217"/>
      <c r="C20" s="217"/>
      <c r="D20" s="217"/>
      <c r="E20" s="217"/>
      <c r="F20" s="217"/>
      <c r="G20" s="41"/>
      <c r="H20" s="3" t="s">
        <v>149</v>
      </c>
      <c r="I20" s="3"/>
    </row>
    <row r="21" spans="1:15" s="38" customFormat="1" ht="15" customHeight="1">
      <c r="A21" s="192" t="s">
        <v>144</v>
      </c>
      <c r="B21" s="274"/>
      <c r="C21" s="256" t="s">
        <v>200</v>
      </c>
      <c r="D21" s="256" t="s">
        <v>145</v>
      </c>
      <c r="E21" s="256" t="s">
        <v>246</v>
      </c>
      <c r="F21" s="256" t="s">
        <v>224</v>
      </c>
      <c r="G21" s="269" t="s">
        <v>146</v>
      </c>
      <c r="H21" s="269" t="s">
        <v>147</v>
      </c>
      <c r="I21" s="82"/>
    </row>
    <row r="22" spans="1:15" s="38" customFormat="1" ht="15" customHeight="1">
      <c r="A22" s="194"/>
      <c r="B22" s="275"/>
      <c r="C22" s="272"/>
      <c r="D22" s="272"/>
      <c r="E22" s="272"/>
      <c r="F22" s="272"/>
      <c r="G22" s="270"/>
      <c r="H22" s="270"/>
      <c r="I22" s="82"/>
    </row>
    <row r="23" spans="1:15" s="38" customFormat="1" ht="90" customHeight="1">
      <c r="A23" s="196"/>
      <c r="B23" s="276"/>
      <c r="C23" s="273"/>
      <c r="D23" s="273"/>
      <c r="E23" s="273"/>
      <c r="F23" s="273"/>
      <c r="G23" s="271"/>
      <c r="H23" s="271"/>
      <c r="I23" s="82"/>
    </row>
    <row r="24" spans="1:15" s="112" customFormat="1" ht="14.25">
      <c r="A24" s="190">
        <v>92398.285538060038</v>
      </c>
      <c r="B24" s="277"/>
      <c r="C24" s="80">
        <v>170952.87</v>
      </c>
      <c r="D24" s="80">
        <v>172241.83999999997</v>
      </c>
      <c r="E24" s="80">
        <v>49610</v>
      </c>
      <c r="F24" s="81">
        <f>C24-D24</f>
        <v>-1288.9699999999721</v>
      </c>
      <c r="G24" s="81">
        <v>109921.60000000001</v>
      </c>
      <c r="H24" s="110">
        <f>A24+D24+E24-G24-F24</f>
        <v>205617.49553805994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216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</row>
    <row r="29" spans="1:15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5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157"/>
    </row>
    <row r="33" spans="1:11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1" s="44" customFormat="1" ht="15" customHeight="1">
      <c r="A34" s="211" t="s">
        <v>198</v>
      </c>
      <c r="B34" s="212"/>
      <c r="C34" s="67" t="s">
        <v>346</v>
      </c>
      <c r="D34" s="68"/>
      <c r="E34" s="68"/>
      <c r="F34" s="68"/>
      <c r="G34" s="68"/>
      <c r="H34" s="114">
        <f>388+1072+487+218+304+3040</f>
        <v>5509</v>
      </c>
    </row>
    <row r="35" spans="1:11" s="44" customFormat="1" ht="15" customHeight="1">
      <c r="A35" s="213"/>
      <c r="B35" s="214"/>
      <c r="C35" s="67" t="s">
        <v>255</v>
      </c>
      <c r="D35" s="68"/>
      <c r="E35" s="68"/>
      <c r="F35" s="68"/>
      <c r="G35" s="68"/>
      <c r="H35" s="114">
        <f>4284+3230</f>
        <v>7514</v>
      </c>
    </row>
    <row r="36" spans="1:11" s="44" customFormat="1" ht="15" customHeight="1">
      <c r="A36" s="213"/>
      <c r="B36" s="214"/>
      <c r="C36" s="230" t="s">
        <v>365</v>
      </c>
      <c r="D36" s="231"/>
      <c r="E36" s="231"/>
      <c r="F36" s="231"/>
      <c r="G36" s="232"/>
      <c r="H36" s="114">
        <f>5676+2725</f>
        <v>8401</v>
      </c>
    </row>
    <row r="37" spans="1:11" s="44" customFormat="1" ht="15" customHeight="1">
      <c r="A37" s="213"/>
      <c r="B37" s="214"/>
      <c r="C37" s="230" t="s">
        <v>215</v>
      </c>
      <c r="D37" s="231"/>
      <c r="E37" s="231"/>
      <c r="F37" s="231"/>
      <c r="G37" s="232"/>
      <c r="H37" s="114">
        <v>40000</v>
      </c>
    </row>
    <row r="38" spans="1:11" s="44" customFormat="1" ht="15" customHeight="1">
      <c r="A38" s="213"/>
      <c r="B38" s="214"/>
      <c r="C38" s="230" t="s">
        <v>158</v>
      </c>
      <c r="D38" s="231"/>
      <c r="E38" s="231"/>
      <c r="F38" s="231"/>
      <c r="G38" s="232"/>
      <c r="H38" s="88">
        <v>20796.599999999999</v>
      </c>
    </row>
    <row r="39" spans="1:11" s="44" customFormat="1" ht="15" customHeight="1">
      <c r="A39" s="213"/>
      <c r="B39" s="214"/>
      <c r="C39" s="230" t="s">
        <v>342</v>
      </c>
      <c r="D39" s="231"/>
      <c r="E39" s="231"/>
      <c r="F39" s="231"/>
      <c r="G39" s="232"/>
      <c r="H39" s="88">
        <v>27701</v>
      </c>
    </row>
    <row r="40" spans="1:11" s="44" customFormat="1" ht="15" customHeight="1">
      <c r="A40" s="213"/>
      <c r="B40" s="214"/>
      <c r="C40" s="152"/>
      <c r="D40" s="153"/>
      <c r="E40" s="153"/>
      <c r="F40" s="153"/>
      <c r="G40" s="154"/>
      <c r="H40" s="89">
        <f>SUM(H34:H39)</f>
        <v>109921.60000000001</v>
      </c>
      <c r="K40" s="185"/>
    </row>
    <row r="41" spans="1:11" s="44" customFormat="1" ht="15" customHeight="1">
      <c r="A41" s="213"/>
      <c r="B41" s="214"/>
      <c r="C41" s="202" t="s">
        <v>369</v>
      </c>
      <c r="D41" s="203"/>
      <c r="E41" s="203"/>
      <c r="F41" s="203"/>
      <c r="G41" s="204"/>
      <c r="H41" s="115"/>
    </row>
    <row r="42" spans="1:11" s="44" customFormat="1" ht="14.25" customHeight="1">
      <c r="A42" s="213"/>
      <c r="B42" s="214"/>
      <c r="C42" s="67" t="s">
        <v>255</v>
      </c>
      <c r="D42" s="68"/>
      <c r="E42" s="68"/>
      <c r="F42" s="68"/>
      <c r="G42" s="68"/>
      <c r="H42" s="114">
        <f>1986+10932+1378+16349</f>
        <v>30645</v>
      </c>
    </row>
    <row r="43" spans="1:11" s="44" customFormat="1" ht="15">
      <c r="A43" s="213"/>
      <c r="B43" s="214"/>
      <c r="C43" s="67" t="s">
        <v>364</v>
      </c>
      <c r="D43" s="69"/>
      <c r="E43" s="69"/>
      <c r="F43" s="69"/>
      <c r="G43" s="69"/>
      <c r="H43" s="155">
        <f>2249+10946</f>
        <v>13195</v>
      </c>
    </row>
    <row r="44" spans="1:11" s="44" customFormat="1" ht="15">
      <c r="A44" s="213"/>
      <c r="B44" s="214"/>
      <c r="C44" s="67" t="s">
        <v>366</v>
      </c>
      <c r="D44" s="69"/>
      <c r="E44" s="69"/>
      <c r="F44" s="69"/>
      <c r="G44" s="69"/>
      <c r="H44" s="155">
        <f>2315+18713+2193+416</f>
        <v>23637</v>
      </c>
    </row>
    <row r="45" spans="1:11" s="44" customFormat="1" ht="15">
      <c r="A45" s="213"/>
      <c r="B45" s="214"/>
      <c r="C45" s="67" t="s">
        <v>362</v>
      </c>
      <c r="D45" s="69"/>
      <c r="E45" s="69"/>
      <c r="F45" s="69"/>
      <c r="G45" s="69"/>
      <c r="H45" s="155">
        <v>31708</v>
      </c>
    </row>
    <row r="46" spans="1:11" s="44" customFormat="1" ht="15">
      <c r="A46" s="213"/>
      <c r="B46" s="214"/>
      <c r="C46" s="67" t="s">
        <v>342</v>
      </c>
      <c r="D46" s="69"/>
      <c r="E46" s="69"/>
      <c r="F46" s="69"/>
      <c r="G46" s="69"/>
      <c r="H46" s="155">
        <v>30356</v>
      </c>
    </row>
    <row r="47" spans="1:11" s="44" customFormat="1" ht="15">
      <c r="A47" s="215"/>
      <c r="B47" s="216"/>
      <c r="C47" s="67" t="s">
        <v>331</v>
      </c>
      <c r="D47" s="86"/>
      <c r="E47" s="86"/>
      <c r="F47" s="86"/>
      <c r="G47" s="86"/>
      <c r="H47" s="122">
        <f>6820+7440+12710</f>
        <v>26970</v>
      </c>
    </row>
    <row r="48" spans="1:11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3" ht="42.75" customHeight="1">
      <c r="A49" s="239" t="s">
        <v>314</v>
      </c>
      <c r="B49" s="239"/>
      <c r="C49" s="239"/>
      <c r="D49" s="239"/>
      <c r="E49" s="239"/>
      <c r="F49" s="239"/>
      <c r="G49" s="239"/>
      <c r="H49" s="239"/>
      <c r="I49" s="66"/>
      <c r="J49" s="66"/>
    </row>
    <row r="50" spans="1:13">
      <c r="A50" s="1"/>
      <c r="B50" s="1"/>
      <c r="C50" s="1"/>
      <c r="D50" s="1"/>
      <c r="E50" s="36"/>
      <c r="F50" s="36"/>
      <c r="G50" s="36"/>
      <c r="H50" s="36"/>
      <c r="I50" s="36"/>
      <c r="J50" s="36"/>
    </row>
    <row r="51" spans="1:13" ht="33" customHeight="1">
      <c r="A51" s="241" t="s">
        <v>370</v>
      </c>
      <c r="B51" s="241"/>
      <c r="C51" s="241"/>
      <c r="D51" s="241"/>
      <c r="E51" s="241"/>
      <c r="F51" s="241"/>
      <c r="G51" s="241"/>
      <c r="H51" s="241"/>
      <c r="I51" s="104"/>
      <c r="J51" s="104"/>
    </row>
    <row r="52" spans="1:13" ht="15">
      <c r="A52" s="47"/>
      <c r="B52" s="47"/>
      <c r="C52" s="47"/>
      <c r="D52" s="47"/>
      <c r="E52" s="47"/>
      <c r="F52" s="47"/>
      <c r="G52" s="47"/>
      <c r="H52" s="71" t="s">
        <v>156</v>
      </c>
      <c r="J52" s="47"/>
    </row>
    <row r="53" spans="1:13" ht="15.75">
      <c r="A53" s="205" t="s">
        <v>18</v>
      </c>
      <c r="B53" s="207"/>
      <c r="C53" s="205" t="s">
        <v>368</v>
      </c>
      <c r="D53" s="206"/>
      <c r="E53" s="206"/>
      <c r="F53" s="206"/>
      <c r="G53" s="207"/>
      <c r="H53" s="46" t="s">
        <v>155</v>
      </c>
      <c r="I53" s="47"/>
      <c r="J53" s="47"/>
    </row>
    <row r="54" spans="1:13" ht="15" customHeight="1">
      <c r="A54" s="211" t="s">
        <v>198</v>
      </c>
      <c r="B54" s="212"/>
      <c r="C54" s="230" t="s">
        <v>205</v>
      </c>
      <c r="D54" s="231"/>
      <c r="E54" s="231"/>
      <c r="F54" s="231"/>
      <c r="G54" s="232"/>
      <c r="H54" s="88">
        <f>275+280+433+903</f>
        <v>1891</v>
      </c>
      <c r="I54" s="47"/>
      <c r="J54" s="47"/>
    </row>
    <row r="55" spans="1:13" ht="15" customHeight="1">
      <c r="A55" s="213"/>
      <c r="B55" s="214"/>
      <c r="C55" s="230" t="s">
        <v>320</v>
      </c>
      <c r="D55" s="231"/>
      <c r="E55" s="231"/>
      <c r="F55" s="231"/>
      <c r="G55" s="232"/>
      <c r="H55" s="88">
        <f>482+482</f>
        <v>964</v>
      </c>
      <c r="I55" s="47"/>
      <c r="J55" s="47"/>
    </row>
    <row r="56" spans="1:13" ht="15" customHeight="1">
      <c r="A56" s="213"/>
      <c r="B56" s="214"/>
      <c r="C56" s="67" t="s">
        <v>130</v>
      </c>
      <c r="D56" s="90"/>
      <c r="E56" s="90"/>
      <c r="F56" s="90"/>
      <c r="G56" s="91"/>
      <c r="H56" s="88">
        <f>(1.45*252.3)*12+((1.2*1186.9)+(1.44*1186.9))*2</f>
        <v>10656.851999999999</v>
      </c>
      <c r="I56" s="47"/>
      <c r="J56" s="47"/>
      <c r="K56" s="47"/>
      <c r="L56" s="47"/>
    </row>
    <row r="57" spans="1:13" ht="15">
      <c r="A57" s="213"/>
      <c r="B57" s="214"/>
      <c r="C57" s="203" t="s">
        <v>369</v>
      </c>
      <c r="D57" s="203"/>
      <c r="E57" s="203"/>
      <c r="F57" s="203"/>
      <c r="G57" s="204"/>
      <c r="H57" s="88"/>
      <c r="I57" s="47"/>
      <c r="J57" s="47"/>
    </row>
    <row r="58" spans="1:13" ht="14.25">
      <c r="A58" s="215"/>
      <c r="B58" s="216"/>
      <c r="C58" s="227" t="s">
        <v>157</v>
      </c>
      <c r="D58" s="228"/>
      <c r="E58" s="228"/>
      <c r="F58" s="228"/>
      <c r="G58" s="229"/>
      <c r="H58" s="73">
        <v>9584.33</v>
      </c>
      <c r="I58" s="36"/>
      <c r="J58" s="36"/>
      <c r="M58" s="25"/>
    </row>
    <row r="59" spans="1:13">
      <c r="A59" s="77" t="s">
        <v>28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3" ht="18" customHeight="1">
      <c r="A60" s="245" t="s">
        <v>17</v>
      </c>
      <c r="B60" s="245"/>
      <c r="C60" s="245"/>
      <c r="D60" s="245"/>
      <c r="E60" s="245"/>
      <c r="F60" s="245"/>
      <c r="G60" s="245"/>
      <c r="H60" s="245"/>
      <c r="I60" s="30"/>
      <c r="J60" s="30"/>
    </row>
    <row r="61" spans="1:13" ht="1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3" ht="15.75">
      <c r="A62" s="218" t="s">
        <v>15</v>
      </c>
      <c r="B62" s="218"/>
      <c r="C62" s="218"/>
      <c r="D62" s="218"/>
      <c r="E62" s="218"/>
      <c r="F62" s="218"/>
      <c r="G62" s="218"/>
      <c r="H62" s="218"/>
      <c r="I62" s="48"/>
      <c r="J62" s="48"/>
    </row>
    <row r="63" spans="1:13" ht="15.75">
      <c r="A63" s="14"/>
      <c r="B63" s="14"/>
      <c r="C63" s="14"/>
      <c r="D63" s="14"/>
      <c r="E63" s="14"/>
      <c r="F63" s="14"/>
      <c r="G63" s="14"/>
      <c r="H63" s="71" t="s">
        <v>162</v>
      </c>
      <c r="J63" s="14"/>
    </row>
    <row r="64" spans="1:13" ht="15.75">
      <c r="A64" s="208" t="s">
        <v>16</v>
      </c>
      <c r="B64" s="208"/>
      <c r="C64" s="208"/>
      <c r="D64" s="208"/>
      <c r="E64" s="208"/>
      <c r="F64" s="208"/>
      <c r="G64" s="209"/>
      <c r="H64" s="74">
        <f>SUM(H80:H91)+H66+H72</f>
        <v>1853686.7241903637</v>
      </c>
      <c r="I64" s="72"/>
      <c r="J64" s="72"/>
    </row>
    <row r="65" spans="1:18" ht="15">
      <c r="A65" s="50" t="s">
        <v>4</v>
      </c>
      <c r="B65" s="199" t="s">
        <v>5</v>
      </c>
      <c r="C65" s="200"/>
      <c r="D65" s="200"/>
      <c r="E65" s="200"/>
      <c r="F65" s="200"/>
      <c r="G65" s="201"/>
      <c r="H65" s="75" t="s">
        <v>6</v>
      </c>
      <c r="I65" s="52"/>
    </row>
    <row r="66" spans="1:18" ht="15.75">
      <c r="A66" s="51" t="s">
        <v>7</v>
      </c>
      <c r="B66" s="67" t="s">
        <v>8</v>
      </c>
      <c r="C66" s="68"/>
      <c r="D66" s="68"/>
      <c r="E66" s="68"/>
      <c r="F66" s="68"/>
      <c r="G66" s="68"/>
      <c r="H66" s="87">
        <f>SUM(H67:H71)</f>
        <v>36668.18221109092</v>
      </c>
      <c r="I66" s="41"/>
      <c r="K66" s="129">
        <f>Основное!$C$19*Основное!K35</f>
        <v>20996.18221109092</v>
      </c>
    </row>
    <row r="67" spans="1:18" ht="15">
      <c r="A67" s="51"/>
      <c r="B67" s="67" t="s">
        <v>203</v>
      </c>
      <c r="C67" s="68"/>
      <c r="D67" s="68"/>
      <c r="E67" s="68"/>
      <c r="F67" s="68"/>
      <c r="G67" s="68"/>
      <c r="H67" s="73">
        <f>321+533+253+151+171+2806</f>
        <v>4235</v>
      </c>
      <c r="I67" s="41"/>
    </row>
    <row r="68" spans="1:18" ht="15">
      <c r="A68" s="51"/>
      <c r="B68" s="230" t="s">
        <v>335</v>
      </c>
      <c r="C68" s="231"/>
      <c r="D68" s="231"/>
      <c r="E68" s="231"/>
      <c r="F68" s="231"/>
      <c r="G68" s="232"/>
      <c r="H68" s="73">
        <f>5676+1850</f>
        <v>7526</v>
      </c>
      <c r="I68" s="41"/>
    </row>
    <row r="69" spans="1:18" ht="15">
      <c r="A69" s="51"/>
      <c r="B69" s="67" t="s">
        <v>211</v>
      </c>
      <c r="C69" s="68"/>
      <c r="D69" s="68"/>
      <c r="E69" s="68"/>
      <c r="F69" s="68"/>
      <c r="G69" s="68"/>
      <c r="H69" s="73">
        <f>1930+1093</f>
        <v>3023</v>
      </c>
      <c r="I69" s="41"/>
    </row>
    <row r="70" spans="1:18" ht="15">
      <c r="A70" s="51"/>
      <c r="B70" s="67" t="s">
        <v>206</v>
      </c>
      <c r="C70" s="68"/>
      <c r="D70" s="68"/>
      <c r="E70" s="68"/>
      <c r="F70" s="68"/>
      <c r="G70" s="68"/>
      <c r="H70" s="73">
        <f>142+147+199+400</f>
        <v>888</v>
      </c>
      <c r="I70" s="41"/>
    </row>
    <row r="71" spans="1:18" ht="48" customHeight="1">
      <c r="A71" s="51"/>
      <c r="B71" s="222" t="s">
        <v>226</v>
      </c>
      <c r="C71" s="223"/>
      <c r="D71" s="223"/>
      <c r="E71" s="223"/>
      <c r="F71" s="223"/>
      <c r="G71" s="223"/>
      <c r="H71" s="73">
        <f>K66</f>
        <v>20996.18221109092</v>
      </c>
      <c r="I71" s="41"/>
    </row>
    <row r="72" spans="1:18" ht="15.75">
      <c r="A72" s="51" t="s">
        <v>9</v>
      </c>
      <c r="B72" s="67" t="s">
        <v>136</v>
      </c>
      <c r="C72" s="68"/>
      <c r="D72" s="68"/>
      <c r="E72" s="68"/>
      <c r="F72" s="68"/>
      <c r="G72" s="68"/>
      <c r="H72" s="87">
        <f>SUM(H73:H79)</f>
        <v>160976.61196566041</v>
      </c>
      <c r="I72" s="41"/>
    </row>
    <row r="73" spans="1:18" ht="15">
      <c r="A73" s="51"/>
      <c r="B73" s="67" t="s">
        <v>367</v>
      </c>
      <c r="C73" s="68"/>
      <c r="D73" s="68"/>
      <c r="E73" s="68"/>
      <c r="F73" s="68"/>
      <c r="G73" s="68"/>
      <c r="H73" s="73">
        <v>27701</v>
      </c>
      <c r="I73" s="41"/>
    </row>
    <row r="74" spans="1:18" ht="15">
      <c r="A74" s="51"/>
      <c r="B74" s="67" t="s">
        <v>158</v>
      </c>
      <c r="C74" s="68"/>
      <c r="D74" s="68"/>
      <c r="E74" s="68"/>
      <c r="F74" s="68"/>
      <c r="G74" s="68"/>
      <c r="H74" s="73">
        <f>17700+17700</f>
        <v>35400</v>
      </c>
      <c r="I74" s="41"/>
    </row>
    <row r="75" spans="1:18" ht="15">
      <c r="A75" s="51"/>
      <c r="B75" s="67" t="s">
        <v>248</v>
      </c>
      <c r="C75" s="68"/>
      <c r="D75" s="68"/>
      <c r="E75" s="68"/>
      <c r="F75" s="68"/>
      <c r="G75" s="68"/>
      <c r="H75" s="73">
        <v>40000</v>
      </c>
      <c r="I75" s="41"/>
    </row>
    <row r="76" spans="1:18" ht="15">
      <c r="A76" s="51"/>
      <c r="B76" s="67" t="s">
        <v>363</v>
      </c>
      <c r="C76" s="68"/>
      <c r="D76" s="68"/>
      <c r="E76" s="68"/>
      <c r="F76" s="68"/>
      <c r="G76" s="68"/>
      <c r="H76" s="73">
        <v>31708</v>
      </c>
      <c r="I76" s="41"/>
      <c r="M76" s="77"/>
      <c r="N76" s="77"/>
      <c r="O76" s="77"/>
      <c r="P76" s="77"/>
      <c r="Q76" s="77"/>
      <c r="R76" s="77"/>
    </row>
    <row r="77" spans="1:18" ht="15">
      <c r="A77" s="51"/>
      <c r="B77" s="227" t="s">
        <v>271</v>
      </c>
      <c r="C77" s="228"/>
      <c r="D77" s="228"/>
      <c r="E77" s="228"/>
      <c r="F77" s="228"/>
      <c r="G77" s="228"/>
      <c r="H77" s="73">
        <f>Основное!$C$19*Основное!K36</f>
        <v>10021.820097669814</v>
      </c>
      <c r="I77" s="41"/>
      <c r="K77" s="77"/>
      <c r="M77" s="77"/>
      <c r="N77" s="77"/>
      <c r="O77" s="77"/>
      <c r="P77" s="77"/>
      <c r="Q77" s="77"/>
      <c r="R77" s="77"/>
    </row>
    <row r="78" spans="1:18" ht="15">
      <c r="A78" s="51"/>
      <c r="B78" s="156" t="s">
        <v>353</v>
      </c>
      <c r="C78" s="90"/>
      <c r="D78" s="90"/>
      <c r="E78" s="90"/>
      <c r="F78" s="90"/>
      <c r="G78" s="90"/>
      <c r="H78" s="73">
        <f>Основное!$C$19*Основное!O36</f>
        <v>9620.9472937630217</v>
      </c>
      <c r="I78" s="41"/>
      <c r="K78" s="77"/>
      <c r="M78" s="77"/>
      <c r="N78" s="77"/>
      <c r="O78" s="77"/>
      <c r="P78" s="77"/>
      <c r="Q78" s="77"/>
      <c r="R78" s="77"/>
    </row>
    <row r="79" spans="1:18" ht="15">
      <c r="A79" s="51"/>
      <c r="B79" s="67" t="s">
        <v>272</v>
      </c>
      <c r="C79" s="158"/>
      <c r="D79" s="158"/>
      <c r="E79" s="158"/>
      <c r="F79" s="158"/>
      <c r="G79" s="158"/>
      <c r="H79" s="73">
        <f>Основное!$C$19*Основное!M36</f>
        <v>6524.8445742275817</v>
      </c>
      <c r="I79" s="41"/>
      <c r="K79" s="77"/>
      <c r="M79" s="77"/>
      <c r="N79" s="77"/>
      <c r="O79" s="77"/>
      <c r="P79" s="77"/>
      <c r="Q79" s="77"/>
      <c r="R79" s="77"/>
    </row>
    <row r="80" spans="1:18" ht="15">
      <c r="A80" s="51">
        <v>3</v>
      </c>
      <c r="B80" s="67" t="s">
        <v>10</v>
      </c>
      <c r="C80" s="68"/>
      <c r="D80" s="68"/>
      <c r="E80" s="68"/>
      <c r="F80" s="68"/>
      <c r="G80" s="68"/>
      <c r="H80" s="73">
        <f>Основное!$C$19*Основное!H38</f>
        <v>70672.809177693314</v>
      </c>
      <c r="I80" s="41"/>
      <c r="K80" s="77"/>
      <c r="M80" s="77"/>
      <c r="N80" s="77"/>
      <c r="O80" s="77"/>
      <c r="P80" s="77"/>
      <c r="Q80" s="77"/>
      <c r="R80" s="77"/>
    </row>
    <row r="81" spans="1:21" ht="15">
      <c r="A81" s="51">
        <v>4</v>
      </c>
      <c r="B81" s="67" t="s">
        <v>11</v>
      </c>
      <c r="C81" s="68"/>
      <c r="D81" s="68"/>
      <c r="E81" s="68"/>
      <c r="F81" s="68"/>
      <c r="G81" s="68"/>
      <c r="H81" s="73">
        <f>Основное!$C$19*Основное!H40</f>
        <v>243359.81478567314</v>
      </c>
      <c r="I81" s="41"/>
      <c r="K81" s="77"/>
      <c r="M81" s="77"/>
      <c r="N81" s="77"/>
      <c r="O81" s="77"/>
      <c r="P81" s="77"/>
      <c r="Q81" s="77"/>
      <c r="R81" s="77"/>
    </row>
    <row r="82" spans="1:21" ht="15">
      <c r="A82" s="51">
        <v>5</v>
      </c>
      <c r="B82" s="67" t="s">
        <v>170</v>
      </c>
      <c r="C82" s="68"/>
      <c r="D82" s="68"/>
      <c r="E82" s="68"/>
      <c r="F82" s="68"/>
      <c r="G82" s="68"/>
      <c r="H82" s="73">
        <f>Основное!$C$19*Основное!H41</f>
        <v>16990.695271288623</v>
      </c>
      <c r="I82" s="41"/>
      <c r="K82" s="77"/>
      <c r="M82" s="77"/>
      <c r="N82" s="77"/>
      <c r="O82" s="77"/>
      <c r="P82" s="77"/>
      <c r="Q82" s="77"/>
      <c r="R82" s="77"/>
    </row>
    <row r="83" spans="1:21" ht="15">
      <c r="A83" s="51">
        <v>6</v>
      </c>
      <c r="B83" s="67" t="s">
        <v>12</v>
      </c>
      <c r="C83" s="68"/>
      <c r="D83" s="68"/>
      <c r="E83" s="68"/>
      <c r="F83" s="68"/>
      <c r="G83" s="68"/>
      <c r="H83" s="73">
        <f>Основное!$C$19*Основное!H42</f>
        <v>116493.93533761472</v>
      </c>
      <c r="I83" s="41"/>
      <c r="K83" s="77"/>
      <c r="M83" s="77"/>
      <c r="N83" s="77"/>
      <c r="O83" s="77"/>
      <c r="P83" s="77"/>
      <c r="Q83" s="77"/>
      <c r="R83" s="77"/>
    </row>
    <row r="84" spans="1:21" ht="15">
      <c r="A84" s="51">
        <v>7</v>
      </c>
      <c r="B84" s="67" t="s">
        <v>132</v>
      </c>
      <c r="C84" s="68"/>
      <c r="D84" s="68"/>
      <c r="E84" s="68"/>
      <c r="F84" s="68"/>
      <c r="G84" s="68"/>
      <c r="H84" s="73">
        <f>Основное!$C$19*Основное!H43</f>
        <v>290473.62780006503</v>
      </c>
      <c r="I84" s="41"/>
      <c r="K84" s="77"/>
      <c r="M84" s="77"/>
      <c r="N84" s="77"/>
      <c r="O84" s="77"/>
      <c r="P84" s="77"/>
      <c r="Q84" s="77"/>
      <c r="R84" s="77"/>
    </row>
    <row r="85" spans="1:21" ht="15">
      <c r="A85" s="51">
        <v>8</v>
      </c>
      <c r="B85" s="67" t="s">
        <v>137</v>
      </c>
      <c r="C85" s="68"/>
      <c r="D85" s="68"/>
      <c r="E85" s="68"/>
      <c r="F85" s="68"/>
      <c r="G85" s="68"/>
      <c r="H85" s="73">
        <f>Основное!$C$19*Основное!H44</f>
        <v>60268.283490421418</v>
      </c>
      <c r="I85" s="41"/>
      <c r="K85" s="77"/>
      <c r="M85" s="77"/>
      <c r="N85" s="77"/>
      <c r="O85" s="77"/>
      <c r="P85" s="77"/>
      <c r="Q85" s="77"/>
      <c r="R85" s="77"/>
    </row>
    <row r="86" spans="1:21" ht="15">
      <c r="A86" s="51">
        <v>9</v>
      </c>
      <c r="B86" s="67" t="s">
        <v>129</v>
      </c>
      <c r="C86" s="68"/>
      <c r="D86" s="68"/>
      <c r="E86" s="68"/>
      <c r="F86" s="68"/>
      <c r="G86" s="68"/>
      <c r="H86" s="73">
        <f>Основное!$C$19*Основное!H45</f>
        <v>10093.465449857413</v>
      </c>
      <c r="I86" s="41"/>
      <c r="K86" s="77"/>
      <c r="L86" s="77"/>
      <c r="M86" s="77"/>
      <c r="N86" s="77"/>
      <c r="O86" s="77"/>
      <c r="P86" s="77"/>
    </row>
    <row r="87" spans="1:21" ht="15">
      <c r="A87" s="51">
        <v>10</v>
      </c>
      <c r="B87" s="67" t="s">
        <v>135</v>
      </c>
      <c r="C87" s="68"/>
      <c r="D87" s="68"/>
      <c r="E87" s="68"/>
      <c r="F87" s="68"/>
      <c r="G87" s="68"/>
      <c r="H87" s="73">
        <f>Основное!$C$19*Основное!H46</f>
        <v>16497.067323924672</v>
      </c>
      <c r="I87" s="41"/>
    </row>
    <row r="88" spans="1:21" ht="15">
      <c r="A88" s="51">
        <v>11</v>
      </c>
      <c r="B88" s="67" t="s">
        <v>13</v>
      </c>
      <c r="C88" s="68"/>
      <c r="D88" s="68"/>
      <c r="E88" s="68"/>
      <c r="F88" s="68"/>
      <c r="G88" s="68"/>
      <c r="H88" s="73">
        <f>Основное!$C$19*Основное!H47</f>
        <v>661533.22275800875</v>
      </c>
      <c r="I88" s="41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</row>
    <row r="89" spans="1:21" ht="15">
      <c r="A89" s="51">
        <v>12</v>
      </c>
      <c r="B89" s="67" t="s">
        <v>128</v>
      </c>
      <c r="C89" s="68"/>
      <c r="D89" s="68"/>
      <c r="E89" s="68"/>
      <c r="F89" s="68"/>
      <c r="G89" s="68"/>
      <c r="H89" s="73">
        <f>Основное!$C$19*Основное!H48</f>
        <v>133643.87093334887</v>
      </c>
      <c r="I89" s="41"/>
    </row>
    <row r="90" spans="1:21" ht="15">
      <c r="A90" s="51">
        <v>13</v>
      </c>
      <c r="B90" s="67" t="s">
        <v>122</v>
      </c>
      <c r="C90" s="68"/>
      <c r="D90" s="68"/>
      <c r="E90" s="68"/>
      <c r="F90" s="68"/>
      <c r="G90" s="68"/>
      <c r="H90" s="73">
        <f>Основное!$C$19*Основное!H49</f>
        <v>20851.95329377041</v>
      </c>
      <c r="I90" s="41"/>
    </row>
    <row r="91" spans="1:21" ht="15">
      <c r="A91" s="51">
        <v>14</v>
      </c>
      <c r="B91" s="67" t="s">
        <v>371</v>
      </c>
      <c r="C91" s="68"/>
      <c r="D91" s="68"/>
      <c r="E91" s="68"/>
      <c r="F91" s="68"/>
      <c r="G91" s="68"/>
      <c r="H91" s="73">
        <f>Основное!$C$19*Основное!H50</f>
        <v>15163.184391946304</v>
      </c>
      <c r="I91" s="41"/>
    </row>
    <row r="92" spans="1:21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21" s="44" customFormat="1" ht="26.25" customHeight="1">
      <c r="A93" s="219" t="s">
        <v>270</v>
      </c>
      <c r="B93" s="219"/>
      <c r="C93" s="219"/>
      <c r="D93" s="219"/>
      <c r="E93" s="219"/>
      <c r="F93" s="219"/>
      <c r="G93" s="219"/>
      <c r="H93" s="219"/>
      <c r="I93" s="84"/>
      <c r="J93" s="84"/>
    </row>
    <row r="94" spans="1:21" s="44" customFormat="1">
      <c r="A94" s="21"/>
      <c r="B94" s="247"/>
      <c r="C94" s="247"/>
      <c r="D94" s="247"/>
      <c r="E94" s="247"/>
      <c r="F94" s="247"/>
      <c r="G94" s="247"/>
      <c r="H94" s="247"/>
      <c r="I94" s="53"/>
      <c r="J94" s="53"/>
    </row>
    <row r="95" spans="1:21" s="44" customFormat="1" ht="15.75">
      <c r="A95" s="210" t="s">
        <v>273</v>
      </c>
      <c r="B95" s="210"/>
      <c r="C95" s="210"/>
      <c r="D95" s="210"/>
      <c r="E95" s="210"/>
      <c r="F95" s="210"/>
      <c r="G95" s="21"/>
      <c r="I95" s="21"/>
      <c r="J95" s="21"/>
    </row>
    <row r="96" spans="1:21" s="44" customFormat="1" ht="15">
      <c r="A96" s="52"/>
      <c r="B96" s="52"/>
      <c r="C96" s="52"/>
      <c r="D96" s="52"/>
      <c r="F96" s="54"/>
      <c r="G96" s="45" t="s">
        <v>159</v>
      </c>
      <c r="H96" s="53"/>
      <c r="I96" s="53"/>
      <c r="J96" s="53"/>
    </row>
    <row r="97" spans="1:16" s="44" customFormat="1" ht="34.5" customHeight="1">
      <c r="A97" s="128" t="s">
        <v>228</v>
      </c>
      <c r="B97" s="128" t="s">
        <v>267</v>
      </c>
      <c r="C97" s="97" t="s">
        <v>161</v>
      </c>
      <c r="D97" s="147" t="s">
        <v>240</v>
      </c>
      <c r="E97" s="147" t="s">
        <v>266</v>
      </c>
      <c r="F97" s="100" t="s">
        <v>208</v>
      </c>
      <c r="G97" s="98"/>
      <c r="H97" s="99"/>
      <c r="I97" s="54"/>
      <c r="J97" s="53"/>
      <c r="K97" s="53"/>
      <c r="L97" s="53"/>
    </row>
    <row r="98" spans="1:16" s="44" customFormat="1" ht="15">
      <c r="A98" s="96">
        <v>10800</v>
      </c>
      <c r="B98" s="96">
        <v>11810</v>
      </c>
      <c r="C98" s="102">
        <v>18000</v>
      </c>
      <c r="D98" s="102">
        <v>3000</v>
      </c>
      <c r="E98" s="102">
        <v>6000</v>
      </c>
      <c r="F98" s="102">
        <f>SUM(A98:E98)</f>
        <v>49610</v>
      </c>
      <c r="G98" s="93"/>
      <c r="H98" s="94"/>
      <c r="I98" s="53"/>
      <c r="J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6" customHeight="1">
      <c r="A100" s="248" t="s">
        <v>372</v>
      </c>
      <c r="B100" s="248"/>
      <c r="C100" s="248"/>
      <c r="D100" s="248"/>
      <c r="E100" s="248"/>
      <c r="F100" s="248"/>
      <c r="G100" s="248"/>
      <c r="H100" s="248"/>
      <c r="I100" s="57"/>
      <c r="J100" s="57"/>
      <c r="K100" s="57"/>
      <c r="L100" s="57"/>
      <c r="M100" s="57"/>
    </row>
    <row r="101" spans="1:16" ht="63.75" customHeight="1">
      <c r="A101" s="246" t="s">
        <v>373</v>
      </c>
      <c r="B101" s="246"/>
      <c r="C101" s="246"/>
      <c r="D101" s="246"/>
      <c r="E101" s="246"/>
      <c r="F101" s="246"/>
      <c r="G101" s="246"/>
      <c r="H101" s="246"/>
      <c r="I101" s="76"/>
      <c r="J101" s="76"/>
      <c r="K101" s="76"/>
      <c r="L101" s="76"/>
      <c r="M101" s="76"/>
      <c r="N101" s="76"/>
      <c r="O101" s="76"/>
      <c r="P101" s="76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2" t="s">
        <v>70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242" t="s">
        <v>140</v>
      </c>
      <c r="B104" s="242"/>
      <c r="C104" s="242"/>
      <c r="D104" s="242"/>
      <c r="E104" s="242"/>
      <c r="F104" s="242"/>
      <c r="G104" s="242"/>
      <c r="H104" s="242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243" t="s">
        <v>141</v>
      </c>
      <c r="B105" s="243"/>
      <c r="C105" s="243"/>
      <c r="D105" s="243"/>
      <c r="E105" s="243"/>
      <c r="F105" s="243"/>
      <c r="G105" s="243"/>
      <c r="H105" s="243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4" t="s">
        <v>194</v>
      </c>
      <c r="B106" s="244"/>
      <c r="C106" s="244"/>
      <c r="D106" s="244"/>
      <c r="E106" s="244"/>
      <c r="F106" s="244"/>
      <c r="G106" s="244"/>
      <c r="H106" s="244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236" t="s">
        <v>164</v>
      </c>
      <c r="B107" s="236"/>
      <c r="C107" s="236"/>
      <c r="D107" s="236"/>
      <c r="E107" s="236"/>
      <c r="F107" s="236"/>
      <c r="G107" s="236"/>
      <c r="H107" s="236"/>
      <c r="I107" s="150"/>
      <c r="J107" s="150"/>
    </row>
  </sheetData>
  <mergeCells count="55">
    <mergeCell ref="A106:H106"/>
    <mergeCell ref="A107:H107"/>
    <mergeCell ref="A95:F95"/>
    <mergeCell ref="A100:H100"/>
    <mergeCell ref="A101:H101"/>
    <mergeCell ref="A103:H103"/>
    <mergeCell ref="A104:H104"/>
    <mergeCell ref="A105:H105"/>
    <mergeCell ref="A51:H51"/>
    <mergeCell ref="A60:H60"/>
    <mergeCell ref="A62:H62"/>
    <mergeCell ref="A24:B24"/>
    <mergeCell ref="A34:B47"/>
    <mergeCell ref="C58:G58"/>
    <mergeCell ref="E32:F32"/>
    <mergeCell ref="A33:B33"/>
    <mergeCell ref="A31:J31"/>
    <mergeCell ref="C55:G55"/>
    <mergeCell ref="E21:E23"/>
    <mergeCell ref="A28:H28"/>
    <mergeCell ref="G21:G23"/>
    <mergeCell ref="A49:H49"/>
    <mergeCell ref="C38:G38"/>
    <mergeCell ref="C33:G33"/>
    <mergeCell ref="C32:D32"/>
    <mergeCell ref="B68:G68"/>
    <mergeCell ref="A53:B53"/>
    <mergeCell ref="C53:G53"/>
    <mergeCell ref="K15:T15"/>
    <mergeCell ref="A1:H1"/>
    <mergeCell ref="A2:H2"/>
    <mergeCell ref="A3:H3"/>
    <mergeCell ref="A17:H17"/>
    <mergeCell ref="E5:H7"/>
    <mergeCell ref="C21:C23"/>
    <mergeCell ref="A19:H19"/>
    <mergeCell ref="H21:H23"/>
    <mergeCell ref="D21:D23"/>
    <mergeCell ref="C36:G36"/>
    <mergeCell ref="C41:G41"/>
    <mergeCell ref="C37:G37"/>
    <mergeCell ref="C39:G39"/>
    <mergeCell ref="B20:F20"/>
    <mergeCell ref="A21:B23"/>
    <mergeCell ref="F21:F23"/>
    <mergeCell ref="K88:U88"/>
    <mergeCell ref="B94:H94"/>
    <mergeCell ref="C54:G54"/>
    <mergeCell ref="C57:G57"/>
    <mergeCell ref="A64:G64"/>
    <mergeCell ref="B65:G65"/>
    <mergeCell ref="A54:B58"/>
    <mergeCell ref="B71:G71"/>
    <mergeCell ref="A93:H93"/>
    <mergeCell ref="B77:G77"/>
  </mergeCells>
  <phoneticPr fontId="11" type="noConversion"/>
  <hyperlinks>
    <hyperlink ref="B65" r:id="rId1" display="blgorod@rambler.ru,"/>
    <hyperlink ref="B64" r:id="rId2" display="blgorod@rambler.ru,"/>
    <hyperlink ref="A105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118</v>
      </c>
      <c r="I1" s="11" t="s">
        <v>119</v>
      </c>
      <c r="J1" s="15" t="s">
        <v>120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134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118</v>
      </c>
      <c r="J16" s="11" t="s">
        <v>119</v>
      </c>
      <c r="K16" s="15" t="s">
        <v>120</v>
      </c>
    </row>
    <row r="17" spans="1:14">
      <c r="G17" s="18">
        <v>1</v>
      </c>
      <c r="H17" s="16" t="s">
        <v>138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139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7"/>
      <c r="J27" s="77"/>
      <c r="K27" s="77"/>
      <c r="L27" s="77"/>
      <c r="M27" s="77"/>
      <c r="N27" s="77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7"/>
      <c r="J28" s="77"/>
      <c r="K28" s="77"/>
      <c r="L28" s="77"/>
      <c r="M28" s="77"/>
      <c r="N28" s="77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7"/>
      <c r="J29" s="77"/>
      <c r="K29" s="77"/>
      <c r="L29" s="77"/>
      <c r="M29" s="77"/>
      <c r="N29" s="77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7"/>
      <c r="J30" s="77"/>
      <c r="K30" s="77"/>
      <c r="L30" s="77"/>
      <c r="M30" s="77"/>
      <c r="N30" s="77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7"/>
      <c r="J31" s="77"/>
      <c r="K31" s="77"/>
      <c r="L31" s="77"/>
      <c r="M31" s="77"/>
      <c r="N31" s="77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7"/>
      <c r="J32" s="77"/>
      <c r="K32" s="77"/>
      <c r="L32" s="77"/>
      <c r="M32" s="77"/>
      <c r="N32" s="77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7"/>
      <c r="I33" s="77"/>
      <c r="J33" s="77"/>
      <c r="K33" s="77"/>
      <c r="L33" s="77"/>
      <c r="M33" s="77"/>
      <c r="N33" s="77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7"/>
      <c r="J34" s="77"/>
      <c r="K34" s="77"/>
      <c r="L34" s="77"/>
      <c r="M34" s="77"/>
      <c r="N34" s="77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7"/>
      <c r="J35" s="77"/>
      <c r="K35" s="77"/>
      <c r="L35" s="77"/>
      <c r="M35" s="77"/>
      <c r="N35" s="77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7"/>
      <c r="J36" s="77"/>
      <c r="K36" s="77"/>
      <c r="L36" s="77"/>
      <c r="M36" s="77"/>
      <c r="N36" s="77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</row>
    <row r="2" spans="1:15" ht="18">
      <c r="A2" s="237" t="s">
        <v>165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</row>
    <row r="3" spans="1:15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8" t="s">
        <v>64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5" s="38" customFormat="1" ht="14.25">
      <c r="A6" s="78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5" s="38" customFormat="1" ht="27" customHeight="1">
      <c r="A7" s="78" t="s">
        <v>230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5" s="38" customFormat="1" ht="14.25" customHeight="1">
      <c r="A8" s="39" t="s">
        <v>229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8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5" s="38" customFormat="1" ht="14.25">
      <c r="A10" s="78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8" t="s">
        <v>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5" s="38" customFormat="1" ht="14.25">
      <c r="A12" s="78" t="s">
        <v>65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5" s="38" customFormat="1" ht="14.25">
      <c r="A13" s="78" t="s">
        <v>66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5" s="38" customFormat="1" ht="14.25">
      <c r="A14" s="78" t="s">
        <v>67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5" s="38" customFormat="1" ht="14.25">
      <c r="A15" s="78" t="s">
        <v>68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9" t="s">
        <v>282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L20" s="42"/>
      <c r="M20" s="42"/>
      <c r="N20" s="43"/>
    </row>
    <row r="21" spans="1:15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201</v>
      </c>
      <c r="F21" s="192" t="s">
        <v>224</v>
      </c>
      <c r="G21" s="187" t="s">
        <v>146</v>
      </c>
      <c r="H21" s="221" t="s">
        <v>147</v>
      </c>
      <c r="I21" s="82"/>
    </row>
    <row r="22" spans="1:15" s="38" customFormat="1" ht="15" customHeight="1">
      <c r="A22" s="194"/>
      <c r="B22" s="195"/>
      <c r="C22" s="198"/>
      <c r="D22" s="194"/>
      <c r="E22" s="194"/>
      <c r="F22" s="194"/>
      <c r="G22" s="188"/>
      <c r="H22" s="221"/>
      <c r="I22" s="82"/>
    </row>
    <row r="23" spans="1:15" s="38" customFormat="1" ht="115.5" customHeight="1">
      <c r="A23" s="196"/>
      <c r="B23" s="197"/>
      <c r="C23" s="198"/>
      <c r="D23" s="196"/>
      <c r="E23" s="196"/>
      <c r="F23" s="196"/>
      <c r="G23" s="189"/>
      <c r="H23" s="221"/>
      <c r="I23" s="82"/>
    </row>
    <row r="24" spans="1:15" s="38" customFormat="1" ht="14.25">
      <c r="A24" s="190">
        <v>140752.70256571998</v>
      </c>
      <c r="B24" s="191"/>
      <c r="C24" s="80">
        <v>68423.55</v>
      </c>
      <c r="D24" s="80">
        <v>68121.88</v>
      </c>
      <c r="E24" s="80">
        <v>18950.48</v>
      </c>
      <c r="F24" s="81">
        <f>C24-D24</f>
        <v>301.66999999999825</v>
      </c>
      <c r="G24" s="81">
        <v>13438</v>
      </c>
      <c r="H24" s="110">
        <f>A24+D24+E24-G24-F24</f>
        <v>214085.39256572002</v>
      </c>
      <c r="I24" s="83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5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5" s="44" customFormat="1" ht="15" customHeight="1">
      <c r="A34" s="211" t="s">
        <v>166</v>
      </c>
      <c r="B34" s="212"/>
      <c r="C34" s="67" t="s">
        <v>321</v>
      </c>
      <c r="D34" s="68"/>
      <c r="E34" s="68"/>
      <c r="F34" s="68"/>
      <c r="G34" s="68"/>
      <c r="H34" s="88">
        <f>219+398+2855</f>
        <v>3472</v>
      </c>
    </row>
    <row r="35" spans="1:15" s="44" customFormat="1" ht="15" customHeight="1">
      <c r="A35" s="213"/>
      <c r="B35" s="214"/>
      <c r="C35" s="67" t="s">
        <v>315</v>
      </c>
      <c r="D35" s="68"/>
      <c r="E35" s="68"/>
      <c r="F35" s="68"/>
      <c r="G35" s="68"/>
      <c r="H35" s="88">
        <f>700+232+48</f>
        <v>980</v>
      </c>
    </row>
    <row r="36" spans="1:15" s="44" customFormat="1" ht="15" customHeight="1">
      <c r="A36" s="213"/>
      <c r="B36" s="214"/>
      <c r="C36" s="179" t="s">
        <v>255</v>
      </c>
      <c r="D36" s="180"/>
      <c r="E36" s="180"/>
      <c r="F36" s="180"/>
      <c r="G36" s="181"/>
      <c r="H36" s="88">
        <v>3894</v>
      </c>
    </row>
    <row r="37" spans="1:15" s="44" customFormat="1" ht="15" customHeight="1">
      <c r="A37" s="213"/>
      <c r="B37" s="214"/>
      <c r="C37" s="67" t="s">
        <v>258</v>
      </c>
      <c r="D37" s="68"/>
      <c r="E37" s="68"/>
      <c r="F37" s="68"/>
      <c r="G37" s="68"/>
      <c r="H37" s="88">
        <v>5092</v>
      </c>
    </row>
    <row r="38" spans="1:15" s="44" customFormat="1" ht="15" customHeight="1">
      <c r="A38" s="213"/>
      <c r="B38" s="214"/>
      <c r="C38" s="67"/>
      <c r="D38" s="68"/>
      <c r="E38" s="68"/>
      <c r="F38" s="68"/>
      <c r="G38" s="68"/>
      <c r="H38" s="89">
        <f>SUM(H34:H37)</f>
        <v>13438</v>
      </c>
    </row>
    <row r="39" spans="1:15" s="44" customFormat="1" ht="15" customHeight="1">
      <c r="A39" s="213"/>
      <c r="B39" s="214"/>
      <c r="C39" s="202" t="s">
        <v>369</v>
      </c>
      <c r="D39" s="203"/>
      <c r="E39" s="203"/>
      <c r="F39" s="203"/>
      <c r="G39" s="204"/>
      <c r="H39" s="88"/>
    </row>
    <row r="40" spans="1:15" s="44" customFormat="1" ht="15" customHeight="1">
      <c r="A40" s="213"/>
      <c r="B40" s="214"/>
      <c r="C40" s="233" t="s">
        <v>255</v>
      </c>
      <c r="D40" s="234"/>
      <c r="E40" s="234"/>
      <c r="F40" s="234"/>
      <c r="G40" s="235"/>
      <c r="H40" s="88">
        <f>5758+807+8615</f>
        <v>15180</v>
      </c>
    </row>
    <row r="41" spans="1:15" s="44" customFormat="1" ht="15" customHeight="1">
      <c r="A41" s="213"/>
      <c r="B41" s="214"/>
      <c r="C41" s="67" t="s">
        <v>222</v>
      </c>
      <c r="D41" s="178"/>
      <c r="E41" s="178"/>
      <c r="F41" s="178"/>
      <c r="G41" s="178"/>
      <c r="H41" s="88">
        <v>24563</v>
      </c>
    </row>
    <row r="42" spans="1:15" s="44" customFormat="1" ht="15" customHeight="1">
      <c r="A42" s="215"/>
      <c r="B42" s="216"/>
      <c r="C42" s="67" t="s">
        <v>212</v>
      </c>
      <c r="D42" s="68"/>
      <c r="E42" s="68"/>
      <c r="F42" s="68"/>
      <c r="G42" s="68"/>
      <c r="H42" s="88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9" t="s">
        <v>285</v>
      </c>
      <c r="B44" s="239"/>
      <c r="C44" s="239"/>
      <c r="D44" s="239"/>
      <c r="E44" s="239"/>
      <c r="F44" s="239"/>
      <c r="G44" s="239"/>
      <c r="H44" s="239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41" t="s">
        <v>370</v>
      </c>
      <c r="B46" s="241"/>
      <c r="C46" s="241"/>
      <c r="D46" s="241"/>
      <c r="E46" s="241"/>
      <c r="F46" s="241"/>
      <c r="G46" s="241"/>
      <c r="H46" s="241"/>
      <c r="I46" s="104"/>
      <c r="J46" s="104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2" t="s">
        <v>156</v>
      </c>
      <c r="I47" s="71"/>
      <c r="J47" s="47"/>
      <c r="L47" s="47"/>
      <c r="M47" s="47"/>
      <c r="N47" s="47"/>
      <c r="O47" s="47"/>
    </row>
    <row r="48" spans="1:15" ht="15.75">
      <c r="A48" s="205" t="s">
        <v>18</v>
      </c>
      <c r="B48" s="207"/>
      <c r="C48" s="205" t="s">
        <v>368</v>
      </c>
      <c r="D48" s="206"/>
      <c r="E48" s="206"/>
      <c r="F48" s="206"/>
      <c r="G48" s="207"/>
      <c r="H48" s="46" t="s">
        <v>155</v>
      </c>
      <c r="I48" s="47"/>
      <c r="J48" s="47"/>
      <c r="K48" s="47"/>
    </row>
    <row r="49" spans="1:12" ht="15" customHeight="1">
      <c r="A49" s="211" t="s">
        <v>166</v>
      </c>
      <c r="B49" s="212"/>
      <c r="C49" s="230" t="s">
        <v>205</v>
      </c>
      <c r="D49" s="231"/>
      <c r="E49" s="231"/>
      <c r="F49" s="231"/>
      <c r="G49" s="232"/>
      <c r="H49" s="88">
        <f>388+201+1339+49</f>
        <v>1977</v>
      </c>
      <c r="I49" s="47"/>
      <c r="J49" s="47"/>
      <c r="K49" s="47"/>
    </row>
    <row r="50" spans="1:12" ht="15" customHeight="1">
      <c r="A50" s="213"/>
      <c r="B50" s="214"/>
      <c r="C50" s="230" t="s">
        <v>317</v>
      </c>
      <c r="D50" s="231"/>
      <c r="E50" s="231"/>
      <c r="F50" s="231"/>
      <c r="G50" s="232"/>
      <c r="H50" s="88">
        <v>394</v>
      </c>
      <c r="I50" s="47"/>
      <c r="J50" s="47"/>
      <c r="K50" s="47"/>
    </row>
    <row r="51" spans="1:12" ht="15" customHeight="1">
      <c r="A51" s="213"/>
      <c r="B51" s="214"/>
      <c r="C51" s="230" t="s">
        <v>320</v>
      </c>
      <c r="D51" s="231"/>
      <c r="E51" s="231"/>
      <c r="F51" s="231"/>
      <c r="G51" s="232"/>
      <c r="H51" s="88">
        <f>435+435</f>
        <v>870</v>
      </c>
      <c r="I51" s="47"/>
      <c r="J51" s="47"/>
      <c r="K51" s="47"/>
    </row>
    <row r="52" spans="1:12" ht="15" customHeight="1">
      <c r="A52" s="213"/>
      <c r="B52" s="214"/>
      <c r="C52" s="67" t="s">
        <v>130</v>
      </c>
      <c r="D52" s="90"/>
      <c r="E52" s="90"/>
      <c r="F52" s="90"/>
      <c r="G52" s="91"/>
      <c r="H52" s="88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3"/>
      <c r="B53" s="214"/>
      <c r="C53" s="202" t="s">
        <v>369</v>
      </c>
      <c r="D53" s="203"/>
      <c r="E53" s="203"/>
      <c r="F53" s="203"/>
      <c r="G53" s="204"/>
      <c r="H53" s="106"/>
      <c r="I53" s="47"/>
      <c r="J53" s="47"/>
      <c r="K53" s="47"/>
    </row>
    <row r="54" spans="1:12" ht="14.25">
      <c r="A54" s="215"/>
      <c r="B54" s="216"/>
      <c r="C54" s="227" t="s">
        <v>157</v>
      </c>
      <c r="D54" s="228"/>
      <c r="E54" s="228"/>
      <c r="F54" s="228"/>
      <c r="G54" s="229"/>
      <c r="H54" s="107">
        <v>4040.59</v>
      </c>
      <c r="I54" s="36"/>
      <c r="J54" s="36"/>
    </row>
    <row r="55" spans="1:12" ht="15">
      <c r="A55" s="79"/>
      <c r="B55" s="79"/>
      <c r="C55" s="108"/>
      <c r="D55" s="108"/>
      <c r="E55" s="108"/>
      <c r="F55" s="108"/>
      <c r="G55" s="108"/>
      <c r="H55" s="109"/>
      <c r="I55" s="36"/>
      <c r="J55" s="36"/>
    </row>
    <row r="56" spans="1:12">
      <c r="A56" s="77" t="s">
        <v>69</v>
      </c>
      <c r="B56" s="77"/>
      <c r="C56" s="77"/>
      <c r="D56" s="77"/>
      <c r="E56" s="77"/>
      <c r="F56" s="77"/>
      <c r="G56" s="77"/>
      <c r="H56" s="77"/>
      <c r="I56" s="77"/>
      <c r="J56" s="77"/>
    </row>
    <row r="57" spans="1:12" ht="17.25" customHeight="1">
      <c r="A57" s="245" t="s">
        <v>17</v>
      </c>
      <c r="B57" s="245"/>
      <c r="C57" s="245"/>
      <c r="D57" s="245"/>
      <c r="E57" s="245"/>
      <c r="F57" s="245"/>
      <c r="G57" s="245"/>
      <c r="H57" s="245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8" t="s">
        <v>15</v>
      </c>
      <c r="B59" s="218"/>
      <c r="C59" s="218"/>
      <c r="D59" s="218"/>
      <c r="E59" s="218"/>
      <c r="F59" s="218"/>
      <c r="G59" s="218"/>
      <c r="H59" s="218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2" t="s">
        <v>162</v>
      </c>
      <c r="I60" s="71"/>
      <c r="J60" s="14"/>
    </row>
    <row r="61" spans="1:12" ht="15.75">
      <c r="A61" s="208" t="s">
        <v>16</v>
      </c>
      <c r="B61" s="208"/>
      <c r="C61" s="208"/>
      <c r="D61" s="208"/>
      <c r="E61" s="208"/>
      <c r="F61" s="208"/>
      <c r="G61" s="209"/>
      <c r="H61" s="74">
        <f>SUM(H74:H85)+H63+H69</f>
        <v>691680.13350824511</v>
      </c>
      <c r="I61" s="72"/>
      <c r="J61" s="72"/>
    </row>
    <row r="62" spans="1:12" ht="15">
      <c r="A62" s="50" t="s">
        <v>4</v>
      </c>
      <c r="B62" s="199" t="s">
        <v>5</v>
      </c>
      <c r="C62" s="200"/>
      <c r="D62" s="200"/>
      <c r="E62" s="200"/>
      <c r="F62" s="200"/>
      <c r="G62" s="201"/>
      <c r="H62" s="75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7">
        <f>SUM(H64:H68)</f>
        <v>14924.747107584557</v>
      </c>
      <c r="I63" s="41"/>
      <c r="K63" s="129">
        <f>Основное!$C$2*Основное!K35</f>
        <v>8403.7471075845569</v>
      </c>
    </row>
    <row r="64" spans="1:12" ht="15">
      <c r="A64" s="51"/>
      <c r="B64" s="67" t="s">
        <v>203</v>
      </c>
      <c r="C64" s="68"/>
      <c r="D64" s="68"/>
      <c r="E64" s="68"/>
      <c r="F64" s="68"/>
      <c r="G64" s="68"/>
      <c r="H64" s="73">
        <f>118+265+2686</f>
        <v>3069</v>
      </c>
      <c r="I64" s="41"/>
    </row>
    <row r="65" spans="1:9" ht="15">
      <c r="A65" s="51"/>
      <c r="B65" s="67" t="s">
        <v>316</v>
      </c>
      <c r="C65" s="68"/>
      <c r="D65" s="68"/>
      <c r="E65" s="68"/>
      <c r="F65" s="68"/>
      <c r="G65" s="68"/>
      <c r="H65" s="73">
        <f>700+130+162+31+1+64</f>
        <v>1088</v>
      </c>
      <c r="I65" s="41"/>
    </row>
    <row r="66" spans="1:9" ht="15">
      <c r="A66" s="51"/>
      <c r="B66" s="67" t="s">
        <v>211</v>
      </c>
      <c r="C66" s="68"/>
      <c r="D66" s="68"/>
      <c r="E66" s="68"/>
      <c r="F66" s="68"/>
      <c r="G66" s="68"/>
      <c r="H66" s="73">
        <v>1021</v>
      </c>
      <c r="I66" s="41"/>
    </row>
    <row r="67" spans="1:9" ht="15">
      <c r="A67" s="51"/>
      <c r="B67" s="67" t="s">
        <v>206</v>
      </c>
      <c r="C67" s="68"/>
      <c r="D67" s="68"/>
      <c r="E67" s="68"/>
      <c r="F67" s="68"/>
      <c r="G67" s="68"/>
      <c r="H67" s="73">
        <f>188+68+1073+14</f>
        <v>1343</v>
      </c>
      <c r="I67" s="41"/>
    </row>
    <row r="68" spans="1:9" ht="51" customHeight="1">
      <c r="A68" s="51"/>
      <c r="B68" s="222" t="s">
        <v>226</v>
      </c>
      <c r="C68" s="223"/>
      <c r="D68" s="223"/>
      <c r="E68" s="223"/>
      <c r="F68" s="223"/>
      <c r="G68" s="223"/>
      <c r="H68" s="73">
        <f>K63</f>
        <v>8403.7471075845569</v>
      </c>
      <c r="I68" s="41"/>
    </row>
    <row r="69" spans="1:9" ht="15.75">
      <c r="A69" s="51" t="s">
        <v>9</v>
      </c>
      <c r="B69" s="67" t="s">
        <v>136</v>
      </c>
      <c r="C69" s="68"/>
      <c r="D69" s="68"/>
      <c r="E69" s="68"/>
      <c r="F69" s="68"/>
      <c r="G69" s="68"/>
      <c r="H69" s="87">
        <f>SUM(H70:H73)</f>
        <v>13922.61806817678</v>
      </c>
      <c r="I69" s="41"/>
    </row>
    <row r="70" spans="1:9" ht="15">
      <c r="A70" s="51"/>
      <c r="B70" s="227" t="s">
        <v>271</v>
      </c>
      <c r="C70" s="228"/>
      <c r="D70" s="228"/>
      <c r="E70" s="228"/>
      <c r="F70" s="228"/>
      <c r="G70" s="228"/>
      <c r="H70" s="73">
        <f>Основное!$C$2*Основное!K36</f>
        <v>4011.2455117691384</v>
      </c>
      <c r="I70" s="41"/>
    </row>
    <row r="71" spans="1:9" ht="15">
      <c r="A71" s="51"/>
      <c r="B71" s="67" t="s">
        <v>272</v>
      </c>
      <c r="C71" s="158"/>
      <c r="D71" s="158"/>
      <c r="E71" s="158"/>
      <c r="F71" s="158"/>
      <c r="G71" s="158"/>
      <c r="H71" s="73">
        <f>Основное!$C$2*Основное!M36</f>
        <v>2611.576865109269</v>
      </c>
      <c r="I71" s="41"/>
    </row>
    <row r="72" spans="1:9" ht="15">
      <c r="A72" s="51"/>
      <c r="B72" s="67" t="s">
        <v>353</v>
      </c>
      <c r="C72" s="158"/>
      <c r="D72" s="158"/>
      <c r="E72" s="158"/>
      <c r="F72" s="158"/>
      <c r="G72" s="158"/>
      <c r="H72" s="73">
        <f>Основное!$C$2*Основное!O36</f>
        <v>3850.7956912983732</v>
      </c>
      <c r="I72" s="41"/>
    </row>
    <row r="73" spans="1:9" ht="15">
      <c r="A73" s="51"/>
      <c r="B73" s="227" t="s">
        <v>318</v>
      </c>
      <c r="C73" s="228"/>
      <c r="D73" s="228"/>
      <c r="E73" s="228"/>
      <c r="F73" s="228"/>
      <c r="G73" s="229"/>
      <c r="H73" s="73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3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3">
        <f>Основное!$C$2*Основное!H40</f>
        <v>97405.057693160154</v>
      </c>
      <c r="I75" s="41"/>
    </row>
    <row r="76" spans="1:9" ht="15">
      <c r="A76" s="51">
        <v>5</v>
      </c>
      <c r="B76" s="67" t="s">
        <v>170</v>
      </c>
      <c r="C76" s="68"/>
      <c r="D76" s="68"/>
      <c r="E76" s="68"/>
      <c r="F76" s="68"/>
      <c r="G76" s="68"/>
      <c r="H76" s="73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3">
        <f>Основное!$C$2*Основное!H42</f>
        <v>46626.837312713331</v>
      </c>
      <c r="I77" s="41"/>
    </row>
    <row r="78" spans="1:9" ht="15">
      <c r="A78" s="51">
        <v>7</v>
      </c>
      <c r="B78" s="67" t="s">
        <v>132</v>
      </c>
      <c r="C78" s="68"/>
      <c r="D78" s="68"/>
      <c r="E78" s="68"/>
      <c r="F78" s="68"/>
      <c r="G78" s="68"/>
      <c r="H78" s="73">
        <f>Основное!$C$2*Основное!H43</f>
        <v>116262.41784875216</v>
      </c>
      <c r="I78" s="41"/>
    </row>
    <row r="79" spans="1:9" ht="15">
      <c r="A79" s="51">
        <v>8</v>
      </c>
      <c r="B79" s="67" t="s">
        <v>137</v>
      </c>
      <c r="C79" s="68"/>
      <c r="D79" s="68"/>
      <c r="E79" s="68"/>
      <c r="F79" s="68"/>
      <c r="G79" s="68"/>
      <c r="H79" s="73">
        <f>Основное!$C$2*Основное!H44</f>
        <v>24122.452737820822</v>
      </c>
      <c r="I79" s="41"/>
    </row>
    <row r="80" spans="1:9" ht="15">
      <c r="A80" s="51">
        <v>9</v>
      </c>
      <c r="B80" s="67" t="s">
        <v>129</v>
      </c>
      <c r="C80" s="68"/>
      <c r="D80" s="68"/>
      <c r="E80" s="68"/>
      <c r="F80" s="68"/>
      <c r="G80" s="68"/>
      <c r="H80" s="73">
        <f>Основное!$C$2*Основное!H45</f>
        <v>4039.9216498958285</v>
      </c>
      <c r="I80" s="41"/>
    </row>
    <row r="81" spans="1:15" ht="15">
      <c r="A81" s="51">
        <v>10</v>
      </c>
      <c r="B81" s="67" t="s">
        <v>135</v>
      </c>
      <c r="C81" s="68"/>
      <c r="D81" s="68"/>
      <c r="E81" s="68"/>
      <c r="F81" s="68"/>
      <c r="G81" s="68"/>
      <c r="H81" s="73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3">
        <f>Основное!$C$2*Основное!H47</f>
        <v>264779.46568719804</v>
      </c>
      <c r="I82" s="41"/>
    </row>
    <row r="83" spans="1:15" ht="15">
      <c r="A83" s="51">
        <v>12</v>
      </c>
      <c r="B83" s="67" t="s">
        <v>128</v>
      </c>
      <c r="C83" s="68"/>
      <c r="D83" s="68"/>
      <c r="E83" s="68"/>
      <c r="F83" s="68"/>
      <c r="G83" s="68"/>
      <c r="H83" s="73">
        <f>Основное!$C$2*Основное!H48</f>
        <v>53491.119600270402</v>
      </c>
      <c r="I83" s="41"/>
    </row>
    <row r="84" spans="1:15" ht="15">
      <c r="A84" s="51">
        <v>13</v>
      </c>
      <c r="B84" s="67" t="s">
        <v>122</v>
      </c>
      <c r="C84" s="68"/>
      <c r="D84" s="68"/>
      <c r="E84" s="68"/>
      <c r="F84" s="68"/>
      <c r="G84" s="68"/>
      <c r="H84" s="73">
        <f>Основное!$C$2*Основное!H49</f>
        <v>8346.0193104747541</v>
      </c>
      <c r="I84" s="41"/>
    </row>
    <row r="85" spans="1:15" ht="15">
      <c r="A85" s="51">
        <v>14</v>
      </c>
      <c r="B85" s="67" t="s">
        <v>371</v>
      </c>
      <c r="C85" s="68"/>
      <c r="D85" s="68"/>
      <c r="E85" s="68"/>
      <c r="F85" s="68"/>
      <c r="G85" s="68"/>
      <c r="H85" s="73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9" t="s">
        <v>227</v>
      </c>
      <c r="B87" s="219"/>
      <c r="C87" s="219"/>
      <c r="D87" s="219"/>
      <c r="E87" s="219"/>
      <c r="F87" s="219"/>
      <c r="G87" s="219"/>
      <c r="H87" s="219"/>
      <c r="I87" s="84"/>
      <c r="J87" s="84"/>
    </row>
    <row r="88" spans="1:15" s="44" customFormat="1">
      <c r="A88" s="21"/>
      <c r="B88" s="247"/>
      <c r="C88" s="247"/>
      <c r="D88" s="247"/>
      <c r="E88" s="247"/>
      <c r="F88" s="247"/>
      <c r="G88" s="247"/>
      <c r="H88" s="247"/>
      <c r="I88" s="53"/>
      <c r="J88" s="53"/>
    </row>
    <row r="89" spans="1:15" s="44" customFormat="1" ht="15.75">
      <c r="A89" s="210" t="s">
        <v>273</v>
      </c>
      <c r="B89" s="210"/>
      <c r="C89" s="210"/>
      <c r="D89" s="210"/>
      <c r="E89" s="210"/>
      <c r="F89" s="210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159</v>
      </c>
      <c r="G90" s="45"/>
      <c r="H90" s="53"/>
      <c r="I90" s="53"/>
      <c r="J90" s="53"/>
    </row>
    <row r="91" spans="1:15" s="44" customFormat="1" ht="34.5" customHeight="1">
      <c r="A91" s="95" t="s">
        <v>207</v>
      </c>
      <c r="B91" s="128" t="s">
        <v>228</v>
      </c>
      <c r="C91" s="92" t="s">
        <v>160</v>
      </c>
      <c r="D91" s="97" t="s">
        <v>161</v>
      </c>
      <c r="E91" s="100" t="s">
        <v>209</v>
      </c>
      <c r="F91" s="100" t="s">
        <v>208</v>
      </c>
      <c r="G91" s="98"/>
      <c r="H91" s="99"/>
      <c r="I91" s="54"/>
      <c r="J91" s="53"/>
      <c r="K91" s="53"/>
      <c r="L91" s="53"/>
    </row>
    <row r="92" spans="1:15" s="44" customFormat="1" ht="15">
      <c r="A92" s="96">
        <v>1026.48</v>
      </c>
      <c r="B92" s="96">
        <v>4320</v>
      </c>
      <c r="C92" s="101">
        <v>4724</v>
      </c>
      <c r="D92" s="102">
        <v>6000</v>
      </c>
      <c r="E92" s="103">
        <v>2880</v>
      </c>
      <c r="F92" s="102">
        <f>SUM(A92:E92)</f>
        <v>18950.48</v>
      </c>
      <c r="G92" s="93"/>
      <c r="H92" s="94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8" t="s">
        <v>372</v>
      </c>
      <c r="B94" s="248"/>
      <c r="C94" s="248"/>
      <c r="D94" s="248"/>
      <c r="E94" s="248"/>
      <c r="F94" s="248"/>
      <c r="G94" s="248"/>
      <c r="H94" s="248"/>
      <c r="I94" s="57"/>
      <c r="J94" s="57"/>
      <c r="K94" s="57"/>
      <c r="L94" s="57"/>
    </row>
    <row r="95" spans="1:15" ht="63.75" customHeight="1">
      <c r="A95" s="246" t="s">
        <v>373</v>
      </c>
      <c r="B95" s="246"/>
      <c r="C95" s="246"/>
      <c r="D95" s="246"/>
      <c r="E95" s="246"/>
      <c r="F95" s="246"/>
      <c r="G95" s="246"/>
      <c r="H95" s="246"/>
      <c r="I95" s="76"/>
      <c r="J95" s="76"/>
      <c r="K95" s="76"/>
      <c r="L95" s="76"/>
      <c r="M95" s="76"/>
      <c r="N95" s="76"/>
      <c r="O95" s="76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2" t="s">
        <v>70</v>
      </c>
      <c r="B97" s="242"/>
      <c r="C97" s="242"/>
      <c r="D97" s="242"/>
      <c r="E97" s="242"/>
      <c r="F97" s="242"/>
      <c r="G97" s="242"/>
      <c r="H97" s="242"/>
      <c r="I97" s="148"/>
      <c r="J97" s="148"/>
      <c r="K97" s="59"/>
      <c r="L97" s="59"/>
      <c r="M97" s="59"/>
      <c r="N97" s="59"/>
      <c r="O97" s="59"/>
    </row>
    <row r="98" spans="1:15" ht="15">
      <c r="A98" s="242" t="s">
        <v>140</v>
      </c>
      <c r="B98" s="242"/>
      <c r="C98" s="242"/>
      <c r="D98" s="242"/>
      <c r="E98" s="242"/>
      <c r="F98" s="242"/>
      <c r="G98" s="242"/>
      <c r="H98" s="242"/>
      <c r="I98" s="148"/>
      <c r="J98" s="148"/>
      <c r="K98" s="59"/>
      <c r="L98" s="59"/>
      <c r="M98" s="59"/>
      <c r="N98" s="59"/>
      <c r="O98" s="59"/>
    </row>
    <row r="99" spans="1:15" ht="14.25">
      <c r="A99" s="243" t="s">
        <v>141</v>
      </c>
      <c r="B99" s="243"/>
      <c r="C99" s="243"/>
      <c r="D99" s="243"/>
      <c r="E99" s="243"/>
      <c r="F99" s="243"/>
      <c r="G99" s="243"/>
      <c r="H99" s="243"/>
      <c r="I99" s="60"/>
      <c r="J99" s="60"/>
      <c r="K99" s="60"/>
      <c r="L99" s="60"/>
      <c r="M99" s="60"/>
      <c r="N99" s="60"/>
      <c r="O99" s="60"/>
    </row>
    <row r="100" spans="1:15" ht="15">
      <c r="A100" s="244" t="s">
        <v>194</v>
      </c>
      <c r="B100" s="244"/>
      <c r="C100" s="244"/>
      <c r="D100" s="244"/>
      <c r="E100" s="244"/>
      <c r="F100" s="244"/>
      <c r="G100" s="244"/>
      <c r="H100" s="244"/>
      <c r="I100" s="149"/>
      <c r="J100" s="149"/>
      <c r="K100" s="61"/>
      <c r="L100" s="61"/>
      <c r="M100" s="61"/>
      <c r="N100" s="61"/>
      <c r="O100" s="61"/>
    </row>
    <row r="101" spans="1:15" ht="15">
      <c r="A101" s="236" t="s">
        <v>164</v>
      </c>
      <c r="B101" s="236"/>
      <c r="C101" s="236"/>
      <c r="D101" s="236"/>
      <c r="E101" s="236"/>
      <c r="F101" s="236"/>
      <c r="G101" s="236"/>
      <c r="H101" s="236"/>
      <c r="I101" s="150"/>
      <c r="J101" s="150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142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240" t="s">
        <v>281</v>
      </c>
      <c r="F5" s="240"/>
      <c r="G5" s="240"/>
      <c r="H5" s="240"/>
      <c r="I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</row>
    <row r="7" spans="1:16" s="38" customFormat="1" ht="27" customHeight="1">
      <c r="A7" s="39" t="s">
        <v>231</v>
      </c>
      <c r="B7" s="39"/>
      <c r="C7" s="39"/>
      <c r="D7" s="39"/>
      <c r="E7" s="240"/>
      <c r="F7" s="240"/>
      <c r="G7" s="240"/>
      <c r="H7" s="240"/>
      <c r="I7" s="66"/>
    </row>
    <row r="8" spans="1:16" s="38" customFormat="1" ht="14.25">
      <c r="A8" s="39" t="s">
        <v>306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186</v>
      </c>
      <c r="F11" s="39"/>
      <c r="G11" s="39" t="s">
        <v>277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187</v>
      </c>
      <c r="F12" s="39"/>
      <c r="G12" s="39" t="s">
        <v>223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191</v>
      </c>
      <c r="F13" s="39"/>
      <c r="G13" s="39" t="s">
        <v>278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189</v>
      </c>
      <c r="F14" s="39"/>
      <c r="G14" s="39" t="s">
        <v>190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185</v>
      </c>
      <c r="F15" s="39"/>
      <c r="G15" s="39" t="s">
        <v>279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9" t="s">
        <v>286</v>
      </c>
      <c r="B17" s="239"/>
      <c r="C17" s="239"/>
      <c r="D17" s="239"/>
      <c r="E17" s="239"/>
      <c r="F17" s="239"/>
      <c r="G17" s="239"/>
      <c r="H17" s="239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201</v>
      </c>
      <c r="F21" s="192" t="s">
        <v>224</v>
      </c>
      <c r="G21" s="187" t="s">
        <v>146</v>
      </c>
      <c r="H21" s="221" t="s">
        <v>147</v>
      </c>
      <c r="I21" s="82"/>
    </row>
    <row r="22" spans="1:16" s="38" customFormat="1" ht="15" customHeight="1">
      <c r="A22" s="194"/>
      <c r="B22" s="195"/>
      <c r="C22" s="198"/>
      <c r="D22" s="194"/>
      <c r="E22" s="194"/>
      <c r="F22" s="194"/>
      <c r="G22" s="188"/>
      <c r="H22" s="221"/>
      <c r="I22" s="82"/>
    </row>
    <row r="23" spans="1:16" s="38" customFormat="1" ht="100.5" customHeight="1">
      <c r="A23" s="196"/>
      <c r="B23" s="197"/>
      <c r="C23" s="198"/>
      <c r="D23" s="196"/>
      <c r="E23" s="196"/>
      <c r="F23" s="196"/>
      <c r="G23" s="189"/>
      <c r="H23" s="221"/>
      <c r="I23" s="82"/>
    </row>
    <row r="24" spans="1:16" s="112" customFormat="1" ht="14.25">
      <c r="A24" s="190">
        <v>-69469.121943899998</v>
      </c>
      <c r="B24" s="191"/>
      <c r="C24" s="80">
        <v>135494.67000000001</v>
      </c>
      <c r="D24" s="80">
        <v>134233.69</v>
      </c>
      <c r="E24" s="80">
        <v>30088</v>
      </c>
      <c r="F24" s="81">
        <f>C24-D24</f>
        <v>1260.9800000000105</v>
      </c>
      <c r="G24" s="81">
        <v>182895</v>
      </c>
      <c r="H24" s="110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287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225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 ht="11.25" customHeight="1">
      <c r="A32" s="6"/>
      <c r="B32" s="5"/>
      <c r="C32" s="224"/>
      <c r="D32" s="224"/>
      <c r="E32" s="225"/>
      <c r="F32" s="225"/>
      <c r="G32" s="5"/>
      <c r="H32" s="157" t="s">
        <v>154</v>
      </c>
      <c r="I32" s="24"/>
      <c r="J32" s="43"/>
    </row>
    <row r="33" spans="1:10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0" s="44" customFormat="1" ht="15" customHeight="1">
      <c r="A34" s="211" t="s">
        <v>152</v>
      </c>
      <c r="B34" s="212"/>
      <c r="C34" s="67" t="s">
        <v>158</v>
      </c>
      <c r="D34" s="68"/>
      <c r="E34" s="68"/>
      <c r="F34" s="68"/>
      <c r="G34" s="68"/>
      <c r="H34" s="114">
        <v>2708</v>
      </c>
    </row>
    <row r="35" spans="1:10" s="44" customFormat="1" ht="15" customHeight="1">
      <c r="A35" s="213"/>
      <c r="B35" s="214"/>
      <c r="C35" s="67" t="s">
        <v>214</v>
      </c>
      <c r="D35" s="68"/>
      <c r="E35" s="68"/>
      <c r="F35" s="68"/>
      <c r="G35" s="68"/>
      <c r="H35" s="114">
        <f>114+431+72+543+472+251</f>
        <v>1883</v>
      </c>
    </row>
    <row r="36" spans="1:10" s="44" customFormat="1" ht="15" customHeight="1">
      <c r="A36" s="213"/>
      <c r="B36" s="214"/>
      <c r="C36" s="67" t="s">
        <v>322</v>
      </c>
      <c r="D36" s="68"/>
      <c r="E36" s="68"/>
      <c r="F36" s="68"/>
      <c r="G36" s="68"/>
      <c r="H36" s="114">
        <v>5056</v>
      </c>
    </row>
    <row r="37" spans="1:10" s="44" customFormat="1" ht="15" customHeight="1">
      <c r="A37" s="213"/>
      <c r="B37" s="214"/>
      <c r="C37" s="67" t="s">
        <v>315</v>
      </c>
      <c r="D37" s="68"/>
      <c r="E37" s="68"/>
      <c r="F37" s="68"/>
      <c r="G37" s="68"/>
      <c r="H37" s="114">
        <v>1068</v>
      </c>
    </row>
    <row r="38" spans="1:10" s="44" customFormat="1" ht="15" customHeight="1">
      <c r="A38" s="213"/>
      <c r="B38" s="214"/>
      <c r="C38" s="67" t="s">
        <v>204</v>
      </c>
      <c r="D38" s="68"/>
      <c r="E38" s="68"/>
      <c r="F38" s="68"/>
      <c r="G38" s="68"/>
      <c r="H38" s="114">
        <f>8919+7387</f>
        <v>16306</v>
      </c>
    </row>
    <row r="39" spans="1:10" s="44" customFormat="1" ht="15" customHeight="1">
      <c r="A39" s="213"/>
      <c r="B39" s="214"/>
      <c r="C39" s="67" t="s">
        <v>221</v>
      </c>
      <c r="D39" s="68"/>
      <c r="E39" s="68"/>
      <c r="F39" s="68"/>
      <c r="G39" s="68"/>
      <c r="H39" s="114">
        <v>11495</v>
      </c>
    </row>
    <row r="40" spans="1:10" s="44" customFormat="1" ht="15" customHeight="1">
      <c r="A40" s="213"/>
      <c r="B40" s="214"/>
      <c r="C40" s="67" t="s">
        <v>167</v>
      </c>
      <c r="D40" s="68"/>
      <c r="E40" s="68"/>
      <c r="F40" s="68"/>
      <c r="G40" s="68"/>
      <c r="H40" s="114">
        <v>144379</v>
      </c>
    </row>
    <row r="41" spans="1:10" s="44" customFormat="1" ht="15" customHeight="1">
      <c r="A41" s="213"/>
      <c r="B41" s="214"/>
      <c r="C41" s="67"/>
      <c r="D41" s="68"/>
      <c r="E41" s="68"/>
      <c r="F41" s="68"/>
      <c r="G41" s="68"/>
      <c r="H41" s="115">
        <f>SUM(H34:H40)</f>
        <v>182895</v>
      </c>
    </row>
    <row r="42" spans="1:10" s="44" customFormat="1" ht="15">
      <c r="A42" s="213"/>
      <c r="B42" s="214"/>
      <c r="C42" s="202" t="s">
        <v>374</v>
      </c>
      <c r="D42" s="203"/>
      <c r="E42" s="203"/>
      <c r="F42" s="203"/>
      <c r="G42" s="204"/>
      <c r="H42" s="115"/>
    </row>
    <row r="43" spans="1:10" s="44" customFormat="1" ht="15.75">
      <c r="A43" s="213"/>
      <c r="B43" s="214"/>
      <c r="C43" s="116" t="s">
        <v>340</v>
      </c>
      <c r="D43" s="70"/>
      <c r="E43" s="70"/>
      <c r="F43" s="70"/>
      <c r="G43" s="70"/>
      <c r="H43" s="114">
        <f>4651+2400+820+728</f>
        <v>8599</v>
      </c>
    </row>
    <row r="44" spans="1:10" s="44" customFormat="1" ht="15.75">
      <c r="A44" s="213"/>
      <c r="B44" s="214"/>
      <c r="C44" s="67" t="s">
        <v>339</v>
      </c>
      <c r="D44" s="70"/>
      <c r="E44" s="70"/>
      <c r="F44" s="70"/>
      <c r="G44" s="70"/>
      <c r="H44" s="114">
        <v>416</v>
      </c>
    </row>
    <row r="45" spans="1:10" ht="14.25" customHeight="1">
      <c r="A45" s="213"/>
      <c r="B45" s="214"/>
      <c r="C45" s="67" t="s">
        <v>331</v>
      </c>
      <c r="D45" s="117"/>
      <c r="E45" s="113"/>
      <c r="F45" s="113"/>
      <c r="G45" s="118"/>
      <c r="H45" s="122">
        <f>11160+12865</f>
        <v>24025</v>
      </c>
      <c r="I45" s="36"/>
      <c r="J45" s="7"/>
    </row>
    <row r="46" spans="1:10" ht="14.25" customHeight="1">
      <c r="A46" s="213"/>
      <c r="B46" s="214"/>
      <c r="C46" s="67" t="s">
        <v>167</v>
      </c>
      <c r="D46" s="117"/>
      <c r="E46" s="113"/>
      <c r="F46" s="113"/>
      <c r="G46" s="113"/>
      <c r="H46" s="122">
        <v>53000</v>
      </c>
      <c r="I46" s="36"/>
      <c r="J46" s="7"/>
    </row>
    <row r="47" spans="1:10" ht="15" customHeight="1">
      <c r="A47" s="215"/>
      <c r="B47" s="216"/>
      <c r="C47" s="67" t="s">
        <v>255</v>
      </c>
      <c r="D47" s="117"/>
      <c r="E47" s="113"/>
      <c r="F47" s="113"/>
      <c r="G47" s="113"/>
      <c r="H47" s="122">
        <f>2874+15588+42118+4190</f>
        <v>64770</v>
      </c>
      <c r="I47" s="36"/>
      <c r="J47" s="7"/>
    </row>
    <row r="48" spans="1:10" ht="9.75" customHeight="1">
      <c r="A48" s="79"/>
      <c r="B48" s="79"/>
      <c r="C48" s="119"/>
      <c r="D48" s="120"/>
      <c r="E48" s="121"/>
      <c r="F48" s="121"/>
      <c r="G48" s="121"/>
      <c r="H48" s="121"/>
      <c r="I48" s="36"/>
      <c r="J48" s="7"/>
    </row>
    <row r="49" spans="1:16" ht="42.75" customHeight="1">
      <c r="A49" s="239" t="s">
        <v>288</v>
      </c>
      <c r="B49" s="239"/>
      <c r="C49" s="239"/>
      <c r="D49" s="239"/>
      <c r="E49" s="239"/>
      <c r="F49" s="239"/>
      <c r="G49" s="239"/>
      <c r="H49" s="239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41" t="s">
        <v>370</v>
      </c>
      <c r="B51" s="241"/>
      <c r="C51" s="241"/>
      <c r="D51" s="241"/>
      <c r="E51" s="241"/>
      <c r="F51" s="241"/>
      <c r="G51" s="241"/>
      <c r="H51" s="241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2" t="s">
        <v>156</v>
      </c>
      <c r="I52" s="47"/>
      <c r="M52" s="47"/>
      <c r="N52" s="47"/>
      <c r="O52" s="47"/>
      <c r="P52" s="47"/>
    </row>
    <row r="53" spans="1:16" ht="15.75">
      <c r="A53" s="205" t="s">
        <v>18</v>
      </c>
      <c r="B53" s="207"/>
      <c r="C53" s="205" t="s">
        <v>375</v>
      </c>
      <c r="D53" s="206"/>
      <c r="E53" s="206"/>
      <c r="F53" s="206"/>
      <c r="G53" s="207"/>
      <c r="H53" s="46" t="s">
        <v>155</v>
      </c>
      <c r="I53" s="47"/>
      <c r="J53" s="47"/>
      <c r="K53" s="47"/>
      <c r="L53" s="47"/>
    </row>
    <row r="54" spans="1:16" ht="15" customHeight="1">
      <c r="A54" s="249" t="s">
        <v>152</v>
      </c>
      <c r="B54" s="249"/>
      <c r="C54" s="230" t="s">
        <v>205</v>
      </c>
      <c r="D54" s="231"/>
      <c r="E54" s="231"/>
      <c r="F54" s="231"/>
      <c r="G54" s="232"/>
      <c r="H54" s="88">
        <f>516+360+523+653+454+809+1550+682</f>
        <v>5547</v>
      </c>
      <c r="I54" s="47"/>
      <c r="J54" s="47"/>
      <c r="K54" s="47"/>
      <c r="L54" s="47"/>
    </row>
    <row r="55" spans="1:16" ht="15" customHeight="1">
      <c r="A55" s="249"/>
      <c r="B55" s="249"/>
      <c r="C55" s="230" t="s">
        <v>317</v>
      </c>
      <c r="D55" s="231"/>
      <c r="E55" s="231"/>
      <c r="F55" s="231"/>
      <c r="G55" s="232"/>
      <c r="H55" s="88">
        <f>1824+599</f>
        <v>2423</v>
      </c>
      <c r="I55" s="47"/>
      <c r="J55" s="47"/>
      <c r="K55" s="47"/>
      <c r="L55" s="47"/>
    </row>
    <row r="56" spans="1:16" ht="15" customHeight="1">
      <c r="A56" s="249"/>
      <c r="B56" s="249"/>
      <c r="C56" s="230" t="s">
        <v>320</v>
      </c>
      <c r="D56" s="231"/>
      <c r="E56" s="231"/>
      <c r="F56" s="231"/>
      <c r="G56" s="232"/>
      <c r="H56" s="88">
        <f>519+519</f>
        <v>1038</v>
      </c>
      <c r="I56" s="47"/>
      <c r="J56" s="47"/>
      <c r="K56" s="47"/>
      <c r="L56" s="47"/>
    </row>
    <row r="57" spans="1:16" ht="15" customHeight="1">
      <c r="A57" s="249"/>
      <c r="B57" s="249"/>
      <c r="C57" s="67" t="s">
        <v>130</v>
      </c>
      <c r="D57" s="90"/>
      <c r="E57" s="90"/>
      <c r="F57" s="90"/>
      <c r="G57" s="91"/>
      <c r="H57" s="88">
        <f>(1.45*201.84)*12+((1.2*977.1)+(1.44*977.1))*2</f>
        <v>8671.1039999999994</v>
      </c>
      <c r="I57" s="47"/>
      <c r="J57" s="47"/>
    </row>
    <row r="58" spans="1:16" ht="15">
      <c r="A58" s="249"/>
      <c r="B58" s="249"/>
      <c r="C58" s="202" t="s">
        <v>374</v>
      </c>
      <c r="D58" s="203"/>
      <c r="E58" s="203"/>
      <c r="F58" s="203"/>
      <c r="G58" s="204"/>
      <c r="H58" s="88"/>
      <c r="I58" s="47"/>
      <c r="J58" s="47"/>
      <c r="K58" s="47"/>
      <c r="L58" s="47"/>
    </row>
    <row r="59" spans="1:16" ht="14.25">
      <c r="A59" s="249"/>
      <c r="B59" s="249"/>
      <c r="C59" s="227" t="s">
        <v>157</v>
      </c>
      <c r="D59" s="228"/>
      <c r="E59" s="228"/>
      <c r="F59" s="228"/>
      <c r="G59" s="229"/>
      <c r="H59" s="73">
        <v>7736.41</v>
      </c>
      <c r="I59" s="36"/>
      <c r="J59" s="7"/>
    </row>
    <row r="60" spans="1:16" ht="8.25" customHeight="1">
      <c r="A60" s="79"/>
      <c r="B60" s="79"/>
      <c r="C60" s="108"/>
      <c r="D60" s="108"/>
      <c r="E60" s="108"/>
      <c r="F60" s="108"/>
      <c r="G60" s="108"/>
      <c r="H60" s="36"/>
      <c r="I60" s="36"/>
      <c r="J60" s="7"/>
    </row>
    <row r="61" spans="1:16">
      <c r="A61" s="77" t="s">
        <v>22</v>
      </c>
      <c r="B61" s="77"/>
      <c r="C61" s="77"/>
      <c r="D61" s="77"/>
      <c r="E61" s="77"/>
      <c r="F61" s="77"/>
      <c r="G61" s="77"/>
      <c r="H61" s="77"/>
      <c r="I61" s="77"/>
      <c r="J61" s="77"/>
    </row>
    <row r="62" spans="1:16" ht="18" customHeight="1">
      <c r="A62" s="245" t="s">
        <v>17</v>
      </c>
      <c r="B62" s="245"/>
      <c r="C62" s="245"/>
      <c r="D62" s="245"/>
      <c r="E62" s="245"/>
      <c r="F62" s="245"/>
      <c r="G62" s="245"/>
      <c r="H62" s="245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8" t="s">
        <v>15</v>
      </c>
      <c r="B64" s="218"/>
      <c r="C64" s="218"/>
      <c r="D64" s="218"/>
      <c r="E64" s="218"/>
      <c r="F64" s="218"/>
      <c r="G64" s="218"/>
      <c r="H64" s="218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1" t="s">
        <v>162</v>
      </c>
      <c r="J65" s="14"/>
    </row>
    <row r="66" spans="1:10" ht="15.75">
      <c r="A66" s="208" t="s">
        <v>16</v>
      </c>
      <c r="B66" s="208"/>
      <c r="C66" s="208"/>
      <c r="D66" s="208"/>
      <c r="E66" s="208"/>
      <c r="F66" s="208"/>
      <c r="G66" s="209"/>
      <c r="H66" s="74">
        <f>SUM(H81:H92)+H68+H74</f>
        <v>1525712.9915252784</v>
      </c>
      <c r="I66" s="14"/>
    </row>
    <row r="67" spans="1:10" ht="14.25">
      <c r="A67" s="50" t="s">
        <v>4</v>
      </c>
      <c r="B67" s="199" t="s">
        <v>5</v>
      </c>
      <c r="C67" s="200"/>
      <c r="D67" s="200"/>
      <c r="E67" s="200"/>
      <c r="F67" s="200"/>
      <c r="G67" s="201"/>
      <c r="H67" s="75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7">
        <f>SUM(H69:H73)</f>
        <v>35569.946979032757</v>
      </c>
      <c r="I68" s="129">
        <f>Основное!$C$3*Основное!K35</f>
        <v>16640.94697903276</v>
      </c>
    </row>
    <row r="69" spans="1:10" ht="14.25">
      <c r="A69" s="51"/>
      <c r="B69" s="67" t="s">
        <v>203</v>
      </c>
      <c r="C69" s="68"/>
      <c r="D69" s="68"/>
      <c r="E69" s="68"/>
      <c r="F69" s="68"/>
      <c r="G69" s="68"/>
      <c r="H69" s="73">
        <f>47+197+36+242+238+181</f>
        <v>941</v>
      </c>
    </row>
    <row r="70" spans="1:10" ht="14.25">
      <c r="A70" s="51"/>
      <c r="B70" s="67" t="s">
        <v>319</v>
      </c>
      <c r="C70" s="68"/>
      <c r="D70" s="68"/>
      <c r="E70" s="68"/>
      <c r="F70" s="68"/>
      <c r="G70" s="68"/>
      <c r="H70" s="73">
        <f>1032+4032+672+237</f>
        <v>5973</v>
      </c>
    </row>
    <row r="71" spans="1:10" ht="14.25">
      <c r="A71" s="51"/>
      <c r="B71" s="67" t="s">
        <v>211</v>
      </c>
      <c r="C71" s="68"/>
      <c r="D71" s="68"/>
      <c r="E71" s="68"/>
      <c r="F71" s="68"/>
      <c r="G71" s="68"/>
      <c r="H71" s="73">
        <f>6532+3219</f>
        <v>9751</v>
      </c>
    </row>
    <row r="72" spans="1:10" ht="14.25">
      <c r="A72" s="51"/>
      <c r="B72" s="67" t="s">
        <v>206</v>
      </c>
      <c r="C72" s="68"/>
      <c r="D72" s="68"/>
      <c r="E72" s="68"/>
      <c r="F72" s="68"/>
      <c r="G72" s="68"/>
      <c r="H72" s="73">
        <f>213+126+254+286+153+375+510+347</f>
        <v>2264</v>
      </c>
    </row>
    <row r="73" spans="1:10" ht="48" customHeight="1">
      <c r="A73" s="51"/>
      <c r="B73" s="222" t="s">
        <v>226</v>
      </c>
      <c r="C73" s="223"/>
      <c r="D73" s="223"/>
      <c r="E73" s="223"/>
      <c r="F73" s="223"/>
      <c r="G73" s="223"/>
      <c r="H73" s="73">
        <f>I68</f>
        <v>16640.94697903276</v>
      </c>
    </row>
    <row r="74" spans="1:10" ht="15">
      <c r="A74" s="51" t="s">
        <v>9</v>
      </c>
      <c r="B74" s="67" t="s">
        <v>136</v>
      </c>
      <c r="C74" s="68"/>
      <c r="D74" s="68"/>
      <c r="E74" s="68"/>
      <c r="F74" s="68"/>
      <c r="G74" s="68"/>
      <c r="H74" s="87">
        <f>SUM(H75:H80)</f>
        <v>177613.66776009573</v>
      </c>
    </row>
    <row r="75" spans="1:10" ht="14.25">
      <c r="A75" s="51"/>
      <c r="B75" s="67" t="s">
        <v>213</v>
      </c>
      <c r="C75" s="68"/>
      <c r="D75" s="68"/>
      <c r="E75" s="68"/>
      <c r="F75" s="68"/>
      <c r="G75" s="68"/>
      <c r="H75" s="73">
        <v>1000</v>
      </c>
    </row>
    <row r="76" spans="1:10" ht="14.25">
      <c r="A76" s="51"/>
      <c r="B76" s="67" t="s">
        <v>323</v>
      </c>
      <c r="C76" s="68"/>
      <c r="D76" s="68"/>
      <c r="E76" s="68"/>
      <c r="F76" s="68"/>
      <c r="G76" s="68"/>
      <c r="H76" s="73">
        <v>11495</v>
      </c>
    </row>
    <row r="77" spans="1:10" ht="14.25">
      <c r="A77" s="51"/>
      <c r="B77" s="67" t="s">
        <v>252</v>
      </c>
      <c r="C77" s="68"/>
      <c r="D77" s="68"/>
      <c r="E77" s="68"/>
      <c r="F77" s="68"/>
      <c r="G77" s="68"/>
      <c r="H77" s="73">
        <v>144379</v>
      </c>
    </row>
    <row r="78" spans="1:10" ht="14.25">
      <c r="A78" s="51"/>
      <c r="B78" s="227" t="s">
        <v>271</v>
      </c>
      <c r="C78" s="228"/>
      <c r="D78" s="228"/>
      <c r="E78" s="228"/>
      <c r="F78" s="228"/>
      <c r="G78" s="228"/>
      <c r="H78" s="73">
        <f>Основное!$C$3*Основное!K36</f>
        <v>7942.9953122922107</v>
      </c>
    </row>
    <row r="79" spans="1:10" ht="14.25">
      <c r="A79" s="51"/>
      <c r="B79" s="156" t="s">
        <v>353</v>
      </c>
      <c r="C79" s="90"/>
      <c r="D79" s="90"/>
      <c r="E79" s="90"/>
      <c r="F79" s="90"/>
      <c r="G79" s="90"/>
      <c r="H79" s="73">
        <f>Основное!$C$3*Основное!O36</f>
        <v>7625.275499800523</v>
      </c>
    </row>
    <row r="80" spans="1:10" ht="14.25">
      <c r="A80" s="51"/>
      <c r="B80" s="67" t="s">
        <v>272</v>
      </c>
      <c r="C80" s="158"/>
      <c r="D80" s="158"/>
      <c r="E80" s="158"/>
      <c r="F80" s="158"/>
      <c r="G80" s="158"/>
      <c r="H80" s="73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3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3">
        <f>Основное!$C$3*Основное!H40</f>
        <v>192879.7213684117</v>
      </c>
    </row>
    <row r="83" spans="1:10" ht="14.25">
      <c r="A83" s="51">
        <v>5</v>
      </c>
      <c r="B83" s="67" t="s">
        <v>170</v>
      </c>
      <c r="C83" s="68"/>
      <c r="D83" s="68"/>
      <c r="E83" s="68"/>
      <c r="F83" s="68"/>
      <c r="G83" s="68"/>
      <c r="H83" s="73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3">
        <f>Основное!$C$3*Основное!H42</f>
        <v>92329.614109945032</v>
      </c>
    </row>
    <row r="85" spans="1:10" ht="14.25">
      <c r="A85" s="51">
        <v>7</v>
      </c>
      <c r="B85" s="67" t="s">
        <v>132</v>
      </c>
      <c r="C85" s="68"/>
      <c r="D85" s="68"/>
      <c r="E85" s="68"/>
      <c r="F85" s="68"/>
      <c r="G85" s="68"/>
      <c r="H85" s="73">
        <f>Основное!$C$3*Основное!H43</f>
        <v>230220.72253091892</v>
      </c>
    </row>
    <row r="86" spans="1:10" ht="14.25">
      <c r="A86" s="51">
        <v>8</v>
      </c>
      <c r="B86" s="67" t="s">
        <v>137</v>
      </c>
      <c r="C86" s="68"/>
      <c r="D86" s="68"/>
      <c r="E86" s="68"/>
      <c r="F86" s="68"/>
      <c r="G86" s="68"/>
      <c r="H86" s="73">
        <f>Основное!$C$3*Основное!H44</f>
        <v>47766.841609501746</v>
      </c>
    </row>
    <row r="87" spans="1:10" ht="14.25">
      <c r="A87" s="51">
        <v>9</v>
      </c>
      <c r="B87" s="67" t="s">
        <v>129</v>
      </c>
      <c r="C87" s="68"/>
      <c r="D87" s="68"/>
      <c r="E87" s="68"/>
      <c r="F87" s="68"/>
      <c r="G87" s="68"/>
      <c r="H87" s="73">
        <f>Основное!$C$3*Основное!H45</f>
        <v>7999.7792787800872</v>
      </c>
    </row>
    <row r="88" spans="1:10" ht="14.25">
      <c r="A88" s="51">
        <v>10</v>
      </c>
      <c r="B88" s="67" t="s">
        <v>135</v>
      </c>
      <c r="C88" s="68"/>
      <c r="D88" s="68"/>
      <c r="E88" s="68"/>
      <c r="F88" s="68"/>
      <c r="G88" s="68"/>
      <c r="H88" s="73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3">
        <f>Основное!$C$3*Основное!H47</f>
        <v>524311.47596774017</v>
      </c>
    </row>
    <row r="90" spans="1:10" ht="14.25">
      <c r="A90" s="51">
        <v>12</v>
      </c>
      <c r="B90" s="67" t="s">
        <v>128</v>
      </c>
      <c r="C90" s="68"/>
      <c r="D90" s="68"/>
      <c r="E90" s="68"/>
      <c r="F90" s="68"/>
      <c r="G90" s="68"/>
      <c r="H90" s="73">
        <f>Основное!$C$3*Основное!H48</f>
        <v>105922.1408880602</v>
      </c>
    </row>
    <row r="91" spans="1:10" ht="14.25">
      <c r="A91" s="51">
        <v>13</v>
      </c>
      <c r="B91" s="67" t="s">
        <v>122</v>
      </c>
      <c r="C91" s="68"/>
      <c r="D91" s="68"/>
      <c r="E91" s="68"/>
      <c r="F91" s="68"/>
      <c r="G91" s="68"/>
      <c r="H91" s="73">
        <f>Основное!$C$3*Основное!H49</f>
        <v>16526.635446495853</v>
      </c>
    </row>
    <row r="92" spans="1:10" ht="14.25">
      <c r="A92" s="51">
        <v>14</v>
      </c>
      <c r="B92" s="67" t="s">
        <v>371</v>
      </c>
      <c r="C92" s="68"/>
      <c r="D92" s="68"/>
      <c r="E92" s="68"/>
      <c r="F92" s="68"/>
      <c r="G92" s="68"/>
      <c r="H92" s="73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9" t="s">
        <v>232</v>
      </c>
      <c r="B94" s="219"/>
      <c r="C94" s="219"/>
      <c r="D94" s="219"/>
      <c r="E94" s="219"/>
      <c r="F94" s="219"/>
      <c r="G94" s="219"/>
      <c r="H94" s="219"/>
    </row>
    <row r="95" spans="1:10" s="44" customFormat="1" ht="6.75" customHeight="1">
      <c r="A95" s="21"/>
      <c r="B95" s="247"/>
      <c r="C95" s="247"/>
      <c r="D95" s="247"/>
      <c r="E95" s="247"/>
      <c r="F95" s="247"/>
      <c r="G95" s="247"/>
      <c r="H95" s="247"/>
    </row>
    <row r="96" spans="1:10" s="44" customFormat="1" ht="15.75">
      <c r="A96" s="210" t="s">
        <v>273</v>
      </c>
      <c r="B96" s="210"/>
      <c r="C96" s="210"/>
      <c r="D96" s="210"/>
      <c r="E96" s="21"/>
      <c r="F96" s="21"/>
      <c r="G96" s="21"/>
    </row>
    <row r="97" spans="1:16" s="44" customFormat="1" ht="15">
      <c r="A97" s="52"/>
      <c r="B97" s="52"/>
      <c r="C97" s="52"/>
      <c r="D97" s="157" t="s">
        <v>159</v>
      </c>
      <c r="F97" s="54"/>
      <c r="G97" s="45"/>
      <c r="H97" s="53"/>
    </row>
    <row r="98" spans="1:16" s="44" customFormat="1" ht="34.5" customHeight="1">
      <c r="A98" s="128" t="s">
        <v>228</v>
      </c>
      <c r="B98" s="92" t="s">
        <v>160</v>
      </c>
      <c r="C98" s="97" t="s">
        <v>161</v>
      </c>
      <c r="D98" s="100" t="s">
        <v>208</v>
      </c>
      <c r="E98" s="98"/>
      <c r="F98" s="99"/>
      <c r="G98" s="54"/>
      <c r="H98" s="53"/>
    </row>
    <row r="99" spans="1:16" s="44" customFormat="1" ht="15">
      <c r="A99" s="96">
        <v>8640</v>
      </c>
      <c r="B99" s="101">
        <v>9448</v>
      </c>
      <c r="C99" s="102">
        <v>12000</v>
      </c>
      <c r="D99" s="102">
        <f>SUM(A99:C99)</f>
        <v>30088</v>
      </c>
      <c r="E99" s="93"/>
      <c r="F99" s="94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8" t="s">
        <v>372</v>
      </c>
      <c r="B101" s="248"/>
      <c r="C101" s="248"/>
      <c r="D101" s="248"/>
      <c r="E101" s="248"/>
      <c r="F101" s="248"/>
      <c r="G101" s="248"/>
      <c r="H101" s="248"/>
      <c r="I101" s="57"/>
      <c r="J101" s="57"/>
      <c r="K101" s="57"/>
      <c r="L101" s="57"/>
      <c r="M101" s="57"/>
    </row>
    <row r="102" spans="1:16" ht="69.75" customHeight="1">
      <c r="A102" s="246" t="s">
        <v>373</v>
      </c>
      <c r="B102" s="246"/>
      <c r="C102" s="246"/>
      <c r="D102" s="246"/>
      <c r="E102" s="246"/>
      <c r="F102" s="246"/>
      <c r="G102" s="246"/>
      <c r="H102" s="246"/>
      <c r="I102" s="76"/>
      <c r="J102" s="76"/>
      <c r="K102" s="76"/>
      <c r="L102" s="76"/>
      <c r="M102" s="76"/>
      <c r="N102" s="76"/>
      <c r="O102" s="76"/>
      <c r="P102" s="76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2" t="s">
        <v>70</v>
      </c>
      <c r="B104" s="242"/>
      <c r="C104" s="242"/>
      <c r="D104" s="242"/>
      <c r="E104" s="242"/>
      <c r="F104" s="242"/>
      <c r="G104" s="242"/>
      <c r="H104" s="242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2" t="s">
        <v>140</v>
      </c>
      <c r="B105" s="242"/>
      <c r="C105" s="242"/>
      <c r="D105" s="242"/>
      <c r="E105" s="242"/>
      <c r="F105" s="242"/>
      <c r="G105" s="242"/>
      <c r="H105" s="242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3" t="s">
        <v>141</v>
      </c>
      <c r="B106" s="243"/>
      <c r="C106" s="243"/>
      <c r="D106" s="243"/>
      <c r="E106" s="243"/>
      <c r="F106" s="243"/>
      <c r="G106" s="243"/>
      <c r="H106" s="243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4" t="s">
        <v>194</v>
      </c>
      <c r="B107" s="244"/>
      <c r="C107" s="244"/>
      <c r="D107" s="244"/>
      <c r="E107" s="244"/>
      <c r="F107" s="244"/>
      <c r="G107" s="244"/>
      <c r="H107" s="244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6" t="s">
        <v>164</v>
      </c>
      <c r="B108" s="236"/>
      <c r="C108" s="236"/>
      <c r="D108" s="236"/>
      <c r="E108" s="236"/>
      <c r="F108" s="236"/>
      <c r="G108" s="236"/>
      <c r="H108" s="236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168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8.5" customHeight="1">
      <c r="A7" s="39" t="s">
        <v>233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307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289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201</v>
      </c>
      <c r="F21" s="192" t="s">
        <v>224</v>
      </c>
      <c r="G21" s="187" t="s">
        <v>146</v>
      </c>
      <c r="H21" s="221" t="s">
        <v>147</v>
      </c>
      <c r="I21" s="82"/>
    </row>
    <row r="22" spans="1:16" s="38" customFormat="1" ht="15" customHeight="1">
      <c r="A22" s="194"/>
      <c r="B22" s="195"/>
      <c r="C22" s="198"/>
      <c r="D22" s="194"/>
      <c r="E22" s="194"/>
      <c r="F22" s="194"/>
      <c r="G22" s="188"/>
      <c r="H22" s="221"/>
      <c r="I22" s="82"/>
    </row>
    <row r="23" spans="1:16" s="38" customFormat="1" ht="92.25" customHeight="1">
      <c r="A23" s="196"/>
      <c r="B23" s="197"/>
      <c r="C23" s="198"/>
      <c r="D23" s="196"/>
      <c r="E23" s="196"/>
      <c r="F23" s="196"/>
      <c r="G23" s="189"/>
      <c r="H23" s="221"/>
      <c r="I23" s="82"/>
    </row>
    <row r="24" spans="1:16" s="112" customFormat="1" ht="14.25">
      <c r="A24" s="190">
        <v>163628.86901892</v>
      </c>
      <c r="B24" s="191"/>
      <c r="C24" s="80">
        <v>68458.23</v>
      </c>
      <c r="D24" s="80">
        <v>68561.259999999995</v>
      </c>
      <c r="E24" s="80">
        <v>16070.48</v>
      </c>
      <c r="F24" s="81">
        <f>C24-D24</f>
        <v>-103.02999999999884</v>
      </c>
      <c r="G24" s="81">
        <v>57853</v>
      </c>
      <c r="H24" s="110">
        <f>A24+D24+E24-G24-F24</f>
        <v>190510.63901892002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6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6" s="44" customFormat="1" ht="15" customHeight="1">
      <c r="A34" s="211" t="s">
        <v>169</v>
      </c>
      <c r="B34" s="212"/>
      <c r="C34" s="67" t="s">
        <v>324</v>
      </c>
      <c r="D34" s="68"/>
      <c r="E34" s="68"/>
      <c r="F34" s="68"/>
      <c r="G34" s="68"/>
      <c r="H34" s="88">
        <f>298+388+978+242</f>
        <v>1906</v>
      </c>
    </row>
    <row r="35" spans="1:16" s="44" customFormat="1" ht="15" customHeight="1">
      <c r="A35" s="213"/>
      <c r="B35" s="214"/>
      <c r="C35" s="67" t="s">
        <v>322</v>
      </c>
      <c r="D35" s="68"/>
      <c r="E35" s="68"/>
      <c r="F35" s="68"/>
      <c r="G35" s="68"/>
      <c r="H35" s="88">
        <v>47083</v>
      </c>
    </row>
    <row r="36" spans="1:16" s="44" customFormat="1" ht="15" customHeight="1">
      <c r="A36" s="213"/>
      <c r="B36" s="214"/>
      <c r="C36" s="67" t="s">
        <v>325</v>
      </c>
      <c r="D36" s="68"/>
      <c r="E36" s="68"/>
      <c r="F36" s="68"/>
      <c r="G36" s="68"/>
      <c r="H36" s="88">
        <v>8864</v>
      </c>
    </row>
    <row r="37" spans="1:16" s="44" customFormat="1" ht="15" customHeight="1">
      <c r="A37" s="213"/>
      <c r="B37" s="214"/>
      <c r="C37" s="67"/>
      <c r="D37" s="68"/>
      <c r="E37" s="68"/>
      <c r="F37" s="68"/>
      <c r="G37" s="68"/>
      <c r="H37" s="89">
        <f>SUM(H34:H36)</f>
        <v>57853</v>
      </c>
    </row>
    <row r="38" spans="1:16" s="44" customFormat="1" ht="15" customHeight="1">
      <c r="A38" s="213"/>
      <c r="B38" s="214"/>
      <c r="C38" s="202" t="s">
        <v>369</v>
      </c>
      <c r="D38" s="203"/>
      <c r="E38" s="203"/>
      <c r="F38" s="203"/>
      <c r="G38" s="204"/>
      <c r="H38" s="89"/>
    </row>
    <row r="39" spans="1:16" s="44" customFormat="1" ht="14.25" customHeight="1">
      <c r="A39" s="213"/>
      <c r="B39" s="214"/>
      <c r="C39" s="250" t="s">
        <v>326</v>
      </c>
      <c r="D39" s="251"/>
      <c r="E39" s="251"/>
      <c r="F39" s="251"/>
      <c r="G39" s="252"/>
      <c r="H39" s="88">
        <f>800+3110+1736+8900+9956</f>
        <v>24502</v>
      </c>
    </row>
    <row r="40" spans="1:16" s="44" customFormat="1" ht="15" customHeight="1">
      <c r="A40" s="213"/>
      <c r="B40" s="214"/>
      <c r="C40" s="67" t="s">
        <v>220</v>
      </c>
      <c r="D40" s="68"/>
      <c r="E40" s="68"/>
      <c r="F40" s="68"/>
      <c r="G40" s="68"/>
      <c r="H40" s="88">
        <v>2465</v>
      </c>
    </row>
    <row r="41" spans="1:16" s="44" customFormat="1" ht="15" customHeight="1">
      <c r="A41" s="215"/>
      <c r="B41" s="216"/>
      <c r="C41" s="67" t="s">
        <v>331</v>
      </c>
      <c r="D41" s="68"/>
      <c r="E41" s="68"/>
      <c r="F41" s="68"/>
      <c r="G41" s="68"/>
      <c r="H41" s="88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9" t="s">
        <v>173</v>
      </c>
      <c r="B43" s="239"/>
      <c r="C43" s="239"/>
      <c r="D43" s="239"/>
      <c r="E43" s="239"/>
      <c r="F43" s="239"/>
      <c r="G43" s="239"/>
      <c r="H43" s="239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41" t="s">
        <v>370</v>
      </c>
      <c r="B45" s="241"/>
      <c r="C45" s="241"/>
      <c r="D45" s="241"/>
      <c r="E45" s="241"/>
      <c r="F45" s="241"/>
      <c r="G45" s="241"/>
      <c r="H45" s="241"/>
      <c r="I45" s="104"/>
      <c r="J45" s="104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2" t="s">
        <v>156</v>
      </c>
      <c r="I46" s="71"/>
      <c r="J46" s="47"/>
      <c r="M46" s="47"/>
      <c r="N46" s="47"/>
      <c r="O46" s="47"/>
      <c r="P46" s="47"/>
    </row>
    <row r="47" spans="1:16" ht="15.75">
      <c r="A47" s="205" t="s">
        <v>18</v>
      </c>
      <c r="B47" s="207"/>
      <c r="C47" s="205" t="s">
        <v>368</v>
      </c>
      <c r="D47" s="206"/>
      <c r="E47" s="206"/>
      <c r="F47" s="206"/>
      <c r="G47" s="207"/>
      <c r="H47" s="46" t="s">
        <v>155</v>
      </c>
      <c r="I47" s="47"/>
      <c r="J47" s="47"/>
      <c r="K47" s="47"/>
      <c r="L47" s="47"/>
    </row>
    <row r="48" spans="1:16" ht="15" customHeight="1">
      <c r="A48" s="211" t="s">
        <v>169</v>
      </c>
      <c r="B48" s="212"/>
      <c r="C48" s="230" t="s">
        <v>205</v>
      </c>
      <c r="D48" s="231"/>
      <c r="E48" s="231"/>
      <c r="F48" s="231"/>
      <c r="G48" s="232"/>
      <c r="H48" s="88">
        <f>696+287+316+346+349+204</f>
        <v>2198</v>
      </c>
      <c r="I48" s="47"/>
      <c r="J48" s="47"/>
      <c r="K48" s="47"/>
      <c r="L48" s="47"/>
    </row>
    <row r="49" spans="1:12" ht="15" customHeight="1">
      <c r="A49" s="213"/>
      <c r="B49" s="214"/>
      <c r="C49" s="230" t="s">
        <v>328</v>
      </c>
      <c r="D49" s="231"/>
      <c r="E49" s="231"/>
      <c r="F49" s="231"/>
      <c r="G49" s="232"/>
      <c r="H49" s="88">
        <v>2364</v>
      </c>
      <c r="I49" s="47"/>
      <c r="J49" s="47"/>
      <c r="K49" s="47"/>
      <c r="L49" s="47"/>
    </row>
    <row r="50" spans="1:12" ht="15" customHeight="1">
      <c r="A50" s="213"/>
      <c r="B50" s="214"/>
      <c r="C50" s="67" t="s">
        <v>130</v>
      </c>
      <c r="D50" s="90"/>
      <c r="E50" s="90"/>
      <c r="F50" s="90"/>
      <c r="G50" s="91"/>
      <c r="H50" s="88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3"/>
      <c r="B51" s="214"/>
      <c r="C51" s="230" t="s">
        <v>327</v>
      </c>
      <c r="D51" s="231"/>
      <c r="E51" s="231"/>
      <c r="F51" s="231"/>
      <c r="G51" s="232"/>
      <c r="H51" s="88">
        <f>496+496+4434</f>
        <v>5426</v>
      </c>
      <c r="I51" s="47"/>
      <c r="J51" s="47"/>
      <c r="K51" s="47"/>
      <c r="L51" s="47"/>
    </row>
    <row r="52" spans="1:12" ht="15">
      <c r="A52" s="213"/>
      <c r="B52" s="214"/>
      <c r="C52" s="202" t="s">
        <v>369</v>
      </c>
      <c r="D52" s="203"/>
      <c r="E52" s="203"/>
      <c r="F52" s="203"/>
      <c r="G52" s="204"/>
      <c r="H52" s="123"/>
      <c r="I52" s="47"/>
      <c r="J52" s="47"/>
      <c r="K52" s="47"/>
      <c r="L52" s="47"/>
    </row>
    <row r="53" spans="1:12" ht="14.25">
      <c r="A53" s="215"/>
      <c r="B53" s="216"/>
      <c r="C53" s="227" t="s">
        <v>157</v>
      </c>
      <c r="D53" s="228"/>
      <c r="E53" s="228"/>
      <c r="F53" s="228"/>
      <c r="G53" s="229"/>
      <c r="H53" s="73">
        <v>4040.59</v>
      </c>
      <c r="I53" s="36"/>
      <c r="J53" s="36"/>
    </row>
    <row r="54" spans="1:12">
      <c r="A54" s="77" t="s">
        <v>79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2" ht="18" customHeight="1">
      <c r="A55" s="245" t="s">
        <v>17</v>
      </c>
      <c r="B55" s="245"/>
      <c r="C55" s="245"/>
      <c r="D55" s="245"/>
      <c r="E55" s="245"/>
      <c r="F55" s="245"/>
      <c r="G55" s="245"/>
      <c r="H55" s="245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8" t="s">
        <v>15</v>
      </c>
      <c r="B57" s="218"/>
      <c r="C57" s="218"/>
      <c r="D57" s="218"/>
      <c r="E57" s="218"/>
      <c r="F57" s="218"/>
      <c r="G57" s="218"/>
      <c r="H57" s="218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2" t="s">
        <v>162</v>
      </c>
      <c r="I58" s="71"/>
      <c r="J58" s="14"/>
    </row>
    <row r="59" spans="1:12" ht="15.75">
      <c r="A59" s="208" t="s">
        <v>16</v>
      </c>
      <c r="B59" s="208"/>
      <c r="C59" s="208"/>
      <c r="D59" s="208"/>
      <c r="E59" s="208"/>
      <c r="F59" s="208"/>
      <c r="G59" s="209"/>
      <c r="H59" s="74">
        <f>SUM(H70:H81)+H61+H66</f>
        <v>731537.52285349905</v>
      </c>
      <c r="I59" s="72"/>
      <c r="J59" s="72"/>
    </row>
    <row r="60" spans="1:12" ht="15">
      <c r="A60" s="50" t="s">
        <v>4</v>
      </c>
      <c r="B60" s="199" t="s">
        <v>5</v>
      </c>
      <c r="C60" s="200"/>
      <c r="D60" s="200"/>
      <c r="E60" s="200"/>
      <c r="F60" s="200"/>
      <c r="G60" s="201"/>
      <c r="H60" s="75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7">
        <f>SUM(H62:H65)</f>
        <v>57885.066514473161</v>
      </c>
      <c r="I61" s="41"/>
      <c r="J61" s="129">
        <f>Основное!$C$4*Основное!K35</f>
        <v>8408.0665144731593</v>
      </c>
    </row>
    <row r="62" spans="1:12" ht="15">
      <c r="A62" s="51"/>
      <c r="B62" s="67" t="s">
        <v>203</v>
      </c>
      <c r="C62" s="68"/>
      <c r="D62" s="68"/>
      <c r="E62" s="68"/>
      <c r="F62" s="68"/>
      <c r="G62" s="68"/>
      <c r="H62" s="73">
        <f>165+388+544+206</f>
        <v>1303</v>
      </c>
      <c r="I62" s="41"/>
    </row>
    <row r="63" spans="1:12" ht="15">
      <c r="A63" s="51"/>
      <c r="B63" s="67" t="s">
        <v>319</v>
      </c>
      <c r="C63" s="68"/>
      <c r="D63" s="68"/>
      <c r="E63" s="68"/>
      <c r="F63" s="68"/>
      <c r="G63" s="68"/>
      <c r="H63" s="73">
        <f>8800+37240</f>
        <v>46040</v>
      </c>
      <c r="I63" s="41"/>
    </row>
    <row r="64" spans="1:12" ht="15">
      <c r="A64" s="51"/>
      <c r="B64" s="67" t="s">
        <v>329</v>
      </c>
      <c r="C64" s="68"/>
      <c r="D64" s="68"/>
      <c r="E64" s="68"/>
      <c r="F64" s="68"/>
      <c r="G64" s="68"/>
      <c r="H64" s="73">
        <f>187+119+114+112+115+71+1416</f>
        <v>2134</v>
      </c>
      <c r="I64" s="41"/>
    </row>
    <row r="65" spans="1:9" ht="48" customHeight="1">
      <c r="A65" s="51"/>
      <c r="B65" s="222" t="s">
        <v>226</v>
      </c>
      <c r="C65" s="223"/>
      <c r="D65" s="223"/>
      <c r="E65" s="223"/>
      <c r="F65" s="223"/>
      <c r="G65" s="223"/>
      <c r="H65" s="73">
        <f>J61</f>
        <v>8408.0665144731593</v>
      </c>
      <c r="I65" s="41"/>
    </row>
    <row r="66" spans="1:9" ht="15.75">
      <c r="A66" s="51" t="s">
        <v>9</v>
      </c>
      <c r="B66" s="67" t="s">
        <v>136</v>
      </c>
      <c r="C66" s="68"/>
      <c r="D66" s="68"/>
      <c r="E66" s="68"/>
      <c r="F66" s="68"/>
      <c r="G66" s="68"/>
      <c r="H66" s="87">
        <f>SUM(H67:H69)</f>
        <v>10479.001359398319</v>
      </c>
      <c r="I66" s="41"/>
    </row>
    <row r="67" spans="1:9" ht="15">
      <c r="A67" s="51"/>
      <c r="B67" s="227" t="s">
        <v>271</v>
      </c>
      <c r="C67" s="228"/>
      <c r="D67" s="228"/>
      <c r="E67" s="228"/>
      <c r="F67" s="228"/>
      <c r="G67" s="228"/>
      <c r="H67" s="73">
        <f>Основное!$C$4*Основное!K36</f>
        <v>4013.3072351020287</v>
      </c>
      <c r="I67" s="41"/>
    </row>
    <row r="68" spans="1:9" ht="15">
      <c r="A68" s="51"/>
      <c r="B68" s="156" t="s">
        <v>353</v>
      </c>
      <c r="C68" s="90"/>
      <c r="D68" s="90"/>
      <c r="E68" s="90"/>
      <c r="F68" s="90"/>
      <c r="G68" s="90"/>
      <c r="H68" s="73">
        <f>Основное!$C$4*Основное!O36</f>
        <v>3852.7749456979477</v>
      </c>
      <c r="I68" s="41"/>
    </row>
    <row r="69" spans="1:9" ht="15">
      <c r="A69" s="51"/>
      <c r="B69" s="67" t="s">
        <v>272</v>
      </c>
      <c r="C69" s="158"/>
      <c r="D69" s="158"/>
      <c r="E69" s="158"/>
      <c r="F69" s="158"/>
      <c r="G69" s="158"/>
      <c r="H69" s="73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3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3">
        <f>Основное!$C$4*Основное!H40</f>
        <v>97455.122512079426</v>
      </c>
      <c r="I71" s="41"/>
    </row>
    <row r="72" spans="1:9" ht="15">
      <c r="A72" s="51">
        <v>5</v>
      </c>
      <c r="B72" s="67" t="s">
        <v>170</v>
      </c>
      <c r="C72" s="68"/>
      <c r="D72" s="68"/>
      <c r="E72" s="68"/>
      <c r="F72" s="68"/>
      <c r="G72" s="68"/>
      <c r="H72" s="73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3">
        <f>Основное!$C$4*Основное!H42</f>
        <v>46650.802846147883</v>
      </c>
      <c r="I73" s="41"/>
    </row>
    <row r="74" spans="1:9" ht="15">
      <c r="A74" s="51">
        <v>7</v>
      </c>
      <c r="B74" s="67" t="s">
        <v>132</v>
      </c>
      <c r="C74" s="68"/>
      <c r="D74" s="68"/>
      <c r="E74" s="68"/>
      <c r="F74" s="68"/>
      <c r="G74" s="68"/>
      <c r="H74" s="73">
        <f>Основное!$C$4*Основное!H43</f>
        <v>116322.17508348479</v>
      </c>
      <c r="I74" s="41"/>
    </row>
    <row r="75" spans="1:9" ht="15">
      <c r="A75" s="51">
        <v>8</v>
      </c>
      <c r="B75" s="67" t="s">
        <v>137</v>
      </c>
      <c r="C75" s="68"/>
      <c r="D75" s="68"/>
      <c r="E75" s="68"/>
      <c r="F75" s="68"/>
      <c r="G75" s="68"/>
      <c r="H75" s="73">
        <f>Основное!$C$4*Основное!H44</f>
        <v>24134.851336587762</v>
      </c>
      <c r="I75" s="41"/>
    </row>
    <row r="76" spans="1:9" ht="15">
      <c r="A76" s="51">
        <v>9</v>
      </c>
      <c r="B76" s="67" t="s">
        <v>129</v>
      </c>
      <c r="C76" s="68"/>
      <c r="D76" s="68"/>
      <c r="E76" s="68"/>
      <c r="F76" s="68"/>
      <c r="G76" s="68"/>
      <c r="H76" s="73">
        <f>Основное!$C$4*Основное!H45</f>
        <v>4041.9981123572265</v>
      </c>
      <c r="I76" s="41"/>
    </row>
    <row r="77" spans="1:9" ht="15">
      <c r="A77" s="51">
        <v>10</v>
      </c>
      <c r="B77" s="67" t="s">
        <v>135</v>
      </c>
      <c r="C77" s="68"/>
      <c r="D77" s="68"/>
      <c r="E77" s="68"/>
      <c r="F77" s="68"/>
      <c r="G77" s="68"/>
      <c r="H77" s="73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3">
        <f>Основное!$C$4*Основное!H47</f>
        <v>264915.55857926252</v>
      </c>
      <c r="I78" s="41"/>
    </row>
    <row r="79" spans="1:9" ht="15">
      <c r="A79" s="51">
        <v>12</v>
      </c>
      <c r="B79" s="67" t="s">
        <v>128</v>
      </c>
      <c r="C79" s="68"/>
      <c r="D79" s="68"/>
      <c r="E79" s="68"/>
      <c r="F79" s="68"/>
      <c r="G79" s="68"/>
      <c r="H79" s="73">
        <f>Основное!$C$4*Основное!H48</f>
        <v>53518.613277498262</v>
      </c>
      <c r="I79" s="41"/>
    </row>
    <row r="80" spans="1:9" ht="15">
      <c r="A80" s="51">
        <v>13</v>
      </c>
      <c r="B80" s="67" t="s">
        <v>122</v>
      </c>
      <c r="C80" s="68"/>
      <c r="D80" s="68"/>
      <c r="E80" s="68"/>
      <c r="F80" s="68"/>
      <c r="G80" s="68"/>
      <c r="H80" s="73">
        <f>Основное!$C$4*Основное!H49</f>
        <v>8350.3090460939457</v>
      </c>
      <c r="I80" s="41"/>
    </row>
    <row r="81" spans="1:16" ht="15">
      <c r="A81" s="51">
        <v>14</v>
      </c>
      <c r="B81" s="67" t="s">
        <v>371</v>
      </c>
      <c r="C81" s="68"/>
      <c r="D81" s="68"/>
      <c r="E81" s="68"/>
      <c r="F81" s="68"/>
      <c r="G81" s="68"/>
      <c r="H81" s="73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9" t="s">
        <v>234</v>
      </c>
      <c r="B83" s="219"/>
      <c r="C83" s="219"/>
      <c r="D83" s="219"/>
      <c r="E83" s="219"/>
      <c r="F83" s="219"/>
      <c r="G83" s="219"/>
      <c r="H83" s="219"/>
      <c r="I83" s="84"/>
      <c r="J83" s="84"/>
    </row>
    <row r="84" spans="1:16" s="44" customFormat="1">
      <c r="A84" s="21"/>
      <c r="B84" s="247"/>
      <c r="C84" s="247"/>
      <c r="D84" s="247"/>
      <c r="E84" s="247"/>
      <c r="F84" s="247"/>
      <c r="G84" s="247"/>
      <c r="H84" s="247"/>
      <c r="I84" s="53"/>
      <c r="J84" s="53"/>
    </row>
    <row r="85" spans="1:16" s="44" customFormat="1" ht="15.75">
      <c r="A85" s="210" t="s">
        <v>273</v>
      </c>
      <c r="B85" s="210"/>
      <c r="C85" s="210"/>
      <c r="D85" s="210"/>
      <c r="E85" s="210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159</v>
      </c>
      <c r="H86" s="53"/>
      <c r="I86" s="53"/>
      <c r="J86" s="53"/>
    </row>
    <row r="87" spans="1:16" s="44" customFormat="1" ht="34.5" customHeight="1">
      <c r="A87" s="95" t="s">
        <v>207</v>
      </c>
      <c r="B87" s="128" t="s">
        <v>228</v>
      </c>
      <c r="C87" s="92" t="s">
        <v>160</v>
      </c>
      <c r="D87" s="97" t="s">
        <v>161</v>
      </c>
      <c r="E87" s="100" t="s">
        <v>208</v>
      </c>
      <c r="F87" s="98"/>
      <c r="G87" s="99"/>
      <c r="H87" s="54"/>
      <c r="I87" s="53"/>
      <c r="J87" s="53"/>
      <c r="K87" s="53"/>
    </row>
    <row r="88" spans="1:16" s="44" customFormat="1" ht="15">
      <c r="A88" s="96">
        <v>1026.48</v>
      </c>
      <c r="B88" s="96">
        <v>4320</v>
      </c>
      <c r="C88" s="101">
        <v>4724</v>
      </c>
      <c r="D88" s="102">
        <v>6000</v>
      </c>
      <c r="E88" s="102">
        <f>SUM(A88:D88)</f>
        <v>16070.48</v>
      </c>
      <c r="F88" s="93"/>
      <c r="G88" s="94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8" t="s">
        <v>372</v>
      </c>
      <c r="B90" s="248"/>
      <c r="C90" s="248"/>
      <c r="D90" s="248"/>
      <c r="E90" s="248"/>
      <c r="F90" s="248"/>
      <c r="G90" s="248"/>
      <c r="H90" s="248"/>
      <c r="I90" s="57"/>
      <c r="J90" s="57"/>
      <c r="K90" s="57"/>
      <c r="L90" s="57"/>
      <c r="M90" s="57"/>
    </row>
    <row r="91" spans="1:16" ht="64.5" customHeight="1">
      <c r="A91" s="246" t="s">
        <v>373</v>
      </c>
      <c r="B91" s="246"/>
      <c r="C91" s="246"/>
      <c r="D91" s="246"/>
      <c r="E91" s="246"/>
      <c r="F91" s="246"/>
      <c r="G91" s="246"/>
      <c r="H91" s="246"/>
      <c r="I91" s="76"/>
      <c r="J91" s="76"/>
      <c r="K91" s="76"/>
      <c r="L91" s="76"/>
      <c r="M91" s="76"/>
      <c r="N91" s="76"/>
      <c r="O91" s="76"/>
      <c r="P91" s="76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2" t="s">
        <v>70</v>
      </c>
      <c r="B93" s="242"/>
      <c r="C93" s="242"/>
      <c r="D93" s="242"/>
      <c r="E93" s="242"/>
      <c r="F93" s="242"/>
      <c r="G93" s="242"/>
      <c r="H93" s="242"/>
      <c r="I93" s="148"/>
      <c r="J93" s="148"/>
      <c r="K93" s="59"/>
      <c r="L93" s="59"/>
      <c r="M93" s="59"/>
      <c r="N93" s="59"/>
      <c r="O93" s="59"/>
      <c r="P93" s="59"/>
    </row>
    <row r="94" spans="1:16" ht="15">
      <c r="A94" s="242" t="s">
        <v>140</v>
      </c>
      <c r="B94" s="242"/>
      <c r="C94" s="242"/>
      <c r="D94" s="242"/>
      <c r="E94" s="242"/>
      <c r="F94" s="242"/>
      <c r="G94" s="242"/>
      <c r="H94" s="242"/>
      <c r="I94" s="148"/>
      <c r="J94" s="148"/>
      <c r="K94" s="59"/>
      <c r="L94" s="59"/>
      <c r="M94" s="59"/>
      <c r="N94" s="59"/>
      <c r="O94" s="59"/>
      <c r="P94" s="59"/>
    </row>
    <row r="95" spans="1:16" ht="14.25">
      <c r="A95" s="243" t="s">
        <v>141</v>
      </c>
      <c r="B95" s="243"/>
      <c r="C95" s="243"/>
      <c r="D95" s="243"/>
      <c r="E95" s="243"/>
      <c r="F95" s="243"/>
      <c r="G95" s="243"/>
      <c r="H95" s="243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4" t="s">
        <v>194</v>
      </c>
      <c r="B96" s="244"/>
      <c r="C96" s="244"/>
      <c r="D96" s="244"/>
      <c r="E96" s="244"/>
      <c r="F96" s="244"/>
      <c r="G96" s="244"/>
      <c r="H96" s="244"/>
      <c r="I96" s="149"/>
      <c r="J96" s="149"/>
      <c r="K96" s="61"/>
      <c r="L96" s="61"/>
      <c r="M96" s="61"/>
      <c r="N96" s="61"/>
      <c r="O96" s="61"/>
      <c r="P96" s="61"/>
    </row>
    <row r="97" spans="1:16" ht="15">
      <c r="A97" s="236" t="s">
        <v>164</v>
      </c>
      <c r="B97" s="236"/>
      <c r="C97" s="236"/>
      <c r="D97" s="236"/>
      <c r="E97" s="236"/>
      <c r="F97" s="236"/>
      <c r="G97" s="236"/>
      <c r="H97" s="236"/>
      <c r="I97" s="150"/>
      <c r="J97" s="150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171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8.5" customHeight="1">
      <c r="A7" s="39" t="s">
        <v>235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236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291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201</v>
      </c>
      <c r="F21" s="256" t="s">
        <v>224</v>
      </c>
      <c r="G21" s="187" t="s">
        <v>146</v>
      </c>
      <c r="H21" s="221" t="s">
        <v>147</v>
      </c>
      <c r="I21" s="82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16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16" s="112" customFormat="1" ht="14.25">
      <c r="A24" s="190">
        <v>59944.400035580002</v>
      </c>
      <c r="B24" s="191"/>
      <c r="C24" s="80">
        <v>68857.23</v>
      </c>
      <c r="D24" s="80">
        <v>68677.16</v>
      </c>
      <c r="E24" s="80">
        <v>16070.48</v>
      </c>
      <c r="F24" s="81">
        <f>C24-D24</f>
        <v>180.06999999999243</v>
      </c>
      <c r="G24" s="81">
        <v>88015</v>
      </c>
      <c r="H24" s="110">
        <f>A24+D24+E24-G24-F24</f>
        <v>56496.970035580031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6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6" s="44" customFormat="1" ht="15" customHeight="1">
      <c r="A34" s="249" t="s">
        <v>172</v>
      </c>
      <c r="B34" s="249"/>
      <c r="C34" s="67" t="s">
        <v>333</v>
      </c>
      <c r="D34" s="68"/>
      <c r="E34" s="68"/>
      <c r="F34" s="68"/>
      <c r="G34" s="68"/>
      <c r="H34" s="88">
        <f>3065+28</f>
        <v>3093</v>
      </c>
    </row>
    <row r="35" spans="1:16" s="44" customFormat="1" ht="15" customHeight="1">
      <c r="A35" s="249"/>
      <c r="B35" s="249"/>
      <c r="C35" s="68" t="s">
        <v>215</v>
      </c>
      <c r="D35" s="68"/>
      <c r="E35" s="68"/>
      <c r="F35" s="68"/>
      <c r="G35" s="68"/>
      <c r="H35" s="88">
        <v>16000</v>
      </c>
    </row>
    <row r="36" spans="1:16" s="44" customFormat="1" ht="15" customHeight="1">
      <c r="A36" s="249"/>
      <c r="B36" s="249"/>
      <c r="C36" s="67" t="s">
        <v>331</v>
      </c>
      <c r="D36" s="68"/>
      <c r="E36" s="68"/>
      <c r="F36" s="68"/>
      <c r="G36" s="68"/>
      <c r="H36" s="88">
        <v>20770</v>
      </c>
    </row>
    <row r="37" spans="1:16" s="44" customFormat="1" ht="15" customHeight="1">
      <c r="A37" s="249"/>
      <c r="B37" s="249"/>
      <c r="C37" s="67" t="s">
        <v>158</v>
      </c>
      <c r="D37" s="68"/>
      <c r="E37" s="68"/>
      <c r="F37" s="68"/>
      <c r="G37" s="68"/>
      <c r="H37" s="88">
        <f>23912+23912</f>
        <v>47824</v>
      </c>
    </row>
    <row r="38" spans="1:16" s="44" customFormat="1" ht="15" customHeight="1">
      <c r="A38" s="249"/>
      <c r="B38" s="249"/>
      <c r="C38" s="67" t="s">
        <v>315</v>
      </c>
      <c r="D38" s="68"/>
      <c r="E38" s="68"/>
      <c r="F38" s="68"/>
      <c r="G38" s="68"/>
      <c r="H38" s="88">
        <v>328</v>
      </c>
    </row>
    <row r="39" spans="1:16" s="44" customFormat="1" ht="15">
      <c r="A39" s="249"/>
      <c r="B39" s="249"/>
      <c r="C39" s="85"/>
      <c r="D39" s="86"/>
      <c r="E39" s="86"/>
      <c r="F39" s="86"/>
      <c r="G39" s="86"/>
      <c r="H39" s="89">
        <f>SUM(H34:H38)</f>
        <v>88015</v>
      </c>
    </row>
    <row r="40" spans="1:16" s="44" customFormat="1" ht="15">
      <c r="A40" s="249"/>
      <c r="B40" s="249"/>
      <c r="C40" s="202" t="s">
        <v>369</v>
      </c>
      <c r="D40" s="203"/>
      <c r="E40" s="203"/>
      <c r="F40" s="203"/>
      <c r="G40" s="204"/>
      <c r="H40" s="89"/>
    </row>
    <row r="41" spans="1:16" s="44" customFormat="1" ht="15">
      <c r="A41" s="249"/>
      <c r="B41" s="249"/>
      <c r="C41" s="67" t="s">
        <v>332</v>
      </c>
      <c r="D41" s="86"/>
      <c r="E41" s="86"/>
      <c r="F41" s="86"/>
      <c r="G41" s="86"/>
      <c r="H41" s="88">
        <f>1471+11262</f>
        <v>12733</v>
      </c>
    </row>
    <row r="42" spans="1:16" s="44" customFormat="1" ht="14.25">
      <c r="A42" s="249"/>
      <c r="B42" s="249"/>
      <c r="C42" s="250" t="s">
        <v>255</v>
      </c>
      <c r="D42" s="251"/>
      <c r="E42" s="251"/>
      <c r="F42" s="251"/>
      <c r="G42" s="252"/>
      <c r="H42" s="88">
        <f>2975+1222</f>
        <v>4197</v>
      </c>
    </row>
    <row r="43" spans="1:16" s="44" customFormat="1" ht="15" customHeight="1">
      <c r="A43" s="249"/>
      <c r="B43" s="249"/>
      <c r="C43" s="67" t="s">
        <v>331</v>
      </c>
      <c r="D43" s="68"/>
      <c r="E43" s="68"/>
      <c r="F43" s="68"/>
      <c r="G43" s="68"/>
      <c r="H43" s="88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9" t="s">
        <v>292</v>
      </c>
      <c r="B45" s="239"/>
      <c r="C45" s="239"/>
      <c r="D45" s="239"/>
      <c r="E45" s="239"/>
      <c r="F45" s="239"/>
      <c r="G45" s="239"/>
      <c r="H45" s="239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41" t="s">
        <v>376</v>
      </c>
      <c r="B47" s="241"/>
      <c r="C47" s="241"/>
      <c r="D47" s="241"/>
      <c r="E47" s="241"/>
      <c r="F47" s="241"/>
      <c r="G47" s="241"/>
      <c r="H47" s="241"/>
      <c r="I47" s="104"/>
      <c r="J47" s="104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2" t="s">
        <v>156</v>
      </c>
      <c r="I48" s="71"/>
      <c r="J48" s="47"/>
      <c r="M48" s="47"/>
      <c r="N48" s="47"/>
      <c r="O48" s="47"/>
      <c r="P48" s="47"/>
    </row>
    <row r="49" spans="1:12" ht="15.75">
      <c r="A49" s="205" t="s">
        <v>18</v>
      </c>
      <c r="B49" s="207"/>
      <c r="C49" s="205" t="s">
        <v>368</v>
      </c>
      <c r="D49" s="206"/>
      <c r="E49" s="206"/>
      <c r="F49" s="206"/>
      <c r="G49" s="207"/>
      <c r="H49" s="46" t="s">
        <v>155</v>
      </c>
      <c r="I49" s="47"/>
      <c r="J49" s="47"/>
      <c r="K49" s="47"/>
      <c r="L49" s="47"/>
    </row>
    <row r="50" spans="1:12" ht="15" customHeight="1">
      <c r="A50" s="211" t="s">
        <v>172</v>
      </c>
      <c r="B50" s="212"/>
      <c r="C50" s="253" t="s">
        <v>205</v>
      </c>
      <c r="D50" s="254"/>
      <c r="E50" s="254"/>
      <c r="F50" s="254"/>
      <c r="G50" s="255"/>
      <c r="H50" s="88">
        <f>316+2016</f>
        <v>2332</v>
      </c>
      <c r="I50" s="47"/>
      <c r="J50" s="47"/>
      <c r="K50" s="47"/>
      <c r="L50" s="47"/>
    </row>
    <row r="51" spans="1:12" ht="15" customHeight="1">
      <c r="A51" s="213"/>
      <c r="B51" s="214"/>
      <c r="C51" s="227" t="s">
        <v>157</v>
      </c>
      <c r="D51" s="228"/>
      <c r="E51" s="228"/>
      <c r="F51" s="228"/>
      <c r="G51" s="229"/>
      <c r="H51" s="88">
        <v>4040.59</v>
      </c>
      <c r="I51" s="47"/>
      <c r="J51" s="47"/>
      <c r="K51" s="47"/>
      <c r="L51" s="47"/>
    </row>
    <row r="52" spans="1:12" ht="15" customHeight="1">
      <c r="A52" s="213"/>
      <c r="B52" s="214"/>
      <c r="C52" s="230" t="s">
        <v>320</v>
      </c>
      <c r="D52" s="231"/>
      <c r="E52" s="231"/>
      <c r="F52" s="231"/>
      <c r="G52" s="232"/>
      <c r="H52" s="88">
        <f>463+463</f>
        <v>926</v>
      </c>
      <c r="I52" s="47"/>
      <c r="J52" s="47"/>
      <c r="K52" s="47"/>
      <c r="L52" s="47"/>
    </row>
    <row r="53" spans="1:12" ht="15" customHeight="1">
      <c r="A53" s="213"/>
      <c r="B53" s="214"/>
      <c r="C53" s="67" t="s">
        <v>130</v>
      </c>
      <c r="D53" s="90"/>
      <c r="E53" s="90"/>
      <c r="F53" s="90"/>
      <c r="G53" s="91"/>
      <c r="H53" s="88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3"/>
      <c r="B54" s="214"/>
      <c r="C54" s="202" t="s">
        <v>369</v>
      </c>
      <c r="D54" s="203"/>
      <c r="E54" s="203"/>
      <c r="F54" s="203"/>
      <c r="G54" s="204"/>
      <c r="H54" s="88"/>
      <c r="I54" s="47"/>
      <c r="J54" s="47"/>
      <c r="K54" s="47"/>
      <c r="L54" s="47"/>
    </row>
    <row r="55" spans="1:12" ht="15">
      <c r="A55" s="213"/>
      <c r="B55" s="214"/>
      <c r="C55" s="233" t="s">
        <v>377</v>
      </c>
      <c r="D55" s="234"/>
      <c r="E55" s="234"/>
      <c r="F55" s="234"/>
      <c r="G55" s="235"/>
      <c r="H55" s="88">
        <v>1283.8399999999999</v>
      </c>
      <c r="I55" s="47"/>
      <c r="J55" s="47"/>
      <c r="K55" s="47"/>
      <c r="L55" s="47"/>
    </row>
    <row r="56" spans="1:12" ht="14.25" customHeight="1">
      <c r="A56" s="215"/>
      <c r="B56" s="216"/>
      <c r="C56" s="259" t="s">
        <v>330</v>
      </c>
      <c r="D56" s="260"/>
      <c r="E56" s="260"/>
      <c r="F56" s="260"/>
      <c r="G56" s="261"/>
      <c r="H56" s="73">
        <v>21692</v>
      </c>
      <c r="I56" s="36"/>
      <c r="J56" s="36"/>
    </row>
    <row r="57" spans="1:12" ht="11.25" customHeight="1">
      <c r="A57" s="79"/>
      <c r="B57" s="79"/>
      <c r="C57" s="124"/>
      <c r="D57" s="124"/>
      <c r="E57" s="124"/>
      <c r="F57" s="124"/>
      <c r="G57" s="124"/>
      <c r="H57" s="121"/>
      <c r="I57" s="36"/>
      <c r="J57" s="36"/>
    </row>
    <row r="58" spans="1:12">
      <c r="A58" s="77" t="s">
        <v>79</v>
      </c>
      <c r="B58" s="77"/>
      <c r="C58" s="77"/>
      <c r="D58" s="77"/>
      <c r="E58" s="77"/>
      <c r="F58" s="77"/>
      <c r="G58" s="77"/>
      <c r="H58" s="77"/>
      <c r="I58" s="77"/>
      <c r="J58" s="77"/>
    </row>
    <row r="59" spans="1:12" ht="18" customHeight="1">
      <c r="A59" s="245" t="s">
        <v>17</v>
      </c>
      <c r="B59" s="245"/>
      <c r="C59" s="245"/>
      <c r="D59" s="245"/>
      <c r="E59" s="245"/>
      <c r="F59" s="245"/>
      <c r="G59" s="245"/>
      <c r="H59" s="245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8" t="s">
        <v>15</v>
      </c>
      <c r="B61" s="218"/>
      <c r="C61" s="218"/>
      <c r="D61" s="218"/>
      <c r="E61" s="218"/>
      <c r="F61" s="218"/>
      <c r="G61" s="218"/>
      <c r="H61" s="218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2" t="s">
        <v>162</v>
      </c>
      <c r="I62" s="71"/>
      <c r="J62" s="14"/>
    </row>
    <row r="63" spans="1:12" ht="15.75">
      <c r="A63" s="208" t="s">
        <v>16</v>
      </c>
      <c r="B63" s="208"/>
      <c r="C63" s="208"/>
      <c r="D63" s="208"/>
      <c r="E63" s="208"/>
      <c r="F63" s="208"/>
      <c r="G63" s="209"/>
      <c r="H63" s="74">
        <f>SUM(H79:H91)+H65+H72</f>
        <v>793687.66797300568</v>
      </c>
      <c r="I63" s="72"/>
      <c r="J63" s="72"/>
    </row>
    <row r="64" spans="1:12" ht="15">
      <c r="A64" s="50" t="s">
        <v>4</v>
      </c>
      <c r="B64" s="199" t="s">
        <v>5</v>
      </c>
      <c r="C64" s="200"/>
      <c r="D64" s="200"/>
      <c r="E64" s="200"/>
      <c r="F64" s="200"/>
      <c r="G64" s="201"/>
      <c r="H64" s="75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SUM(H66:H71)</f>
        <v>27713.944013475775</v>
      </c>
      <c r="I65" s="41"/>
      <c r="K65" s="129">
        <f>Основное!$C$5*Основное!K35</f>
        <v>8456.9440134757751</v>
      </c>
    </row>
    <row r="66" spans="1:11" ht="15">
      <c r="A66" s="51"/>
      <c r="B66" s="67" t="s">
        <v>203</v>
      </c>
      <c r="C66" s="68"/>
      <c r="D66" s="68"/>
      <c r="E66" s="68"/>
      <c r="F66" s="68"/>
      <c r="G66" s="68"/>
      <c r="H66" s="73">
        <f>2863+28</f>
        <v>2891</v>
      </c>
      <c r="I66" s="41"/>
    </row>
    <row r="67" spans="1:11" ht="15">
      <c r="A67" s="51"/>
      <c r="B67" s="67" t="s">
        <v>319</v>
      </c>
      <c r="C67" s="68"/>
      <c r="D67" s="68"/>
      <c r="E67" s="68"/>
      <c r="F67" s="68"/>
      <c r="G67" s="68"/>
      <c r="H67" s="73">
        <f>328+7675+7675</f>
        <v>15678</v>
      </c>
      <c r="I67" s="41"/>
    </row>
    <row r="68" spans="1:11" ht="15">
      <c r="A68" s="51"/>
      <c r="B68" s="67" t="s">
        <v>211</v>
      </c>
      <c r="C68" s="68"/>
      <c r="D68" s="68"/>
      <c r="E68" s="68"/>
      <c r="F68" s="68"/>
      <c r="G68" s="68"/>
      <c r="H68" s="73"/>
      <c r="I68" s="41"/>
    </row>
    <row r="69" spans="1:11" ht="15">
      <c r="A69" s="51"/>
      <c r="B69" s="67" t="s">
        <v>206</v>
      </c>
      <c r="C69" s="68"/>
      <c r="D69" s="68"/>
      <c r="E69" s="68"/>
      <c r="F69" s="68"/>
      <c r="G69" s="68"/>
      <c r="H69" s="73">
        <f>114+574</f>
        <v>688</v>
      </c>
      <c r="I69" s="41"/>
    </row>
    <row r="70" spans="1:11" ht="15">
      <c r="A70" s="51"/>
      <c r="B70" s="67" t="s">
        <v>213</v>
      </c>
      <c r="C70" s="68"/>
      <c r="D70" s="68"/>
      <c r="E70" s="68"/>
      <c r="F70" s="68"/>
      <c r="G70" s="68"/>
      <c r="H70" s="73"/>
      <c r="I70" s="41"/>
    </row>
    <row r="71" spans="1:11" ht="49.5" customHeight="1">
      <c r="A71" s="51"/>
      <c r="B71" s="222" t="s">
        <v>226</v>
      </c>
      <c r="C71" s="223"/>
      <c r="D71" s="223"/>
      <c r="E71" s="223"/>
      <c r="F71" s="223"/>
      <c r="G71" s="223"/>
      <c r="H71" s="73">
        <f>K65</f>
        <v>8456.9440134757751</v>
      </c>
      <c r="I71" s="41"/>
    </row>
    <row r="72" spans="1:11" ht="15.75">
      <c r="A72" s="51" t="s">
        <v>9</v>
      </c>
      <c r="B72" s="67" t="s">
        <v>136</v>
      </c>
      <c r="C72" s="68"/>
      <c r="D72" s="68"/>
      <c r="E72" s="68"/>
      <c r="F72" s="68"/>
      <c r="G72" s="68"/>
      <c r="H72" s="87">
        <f>SUM(H73:H78)</f>
        <v>79309.917549536767</v>
      </c>
      <c r="I72" s="41"/>
    </row>
    <row r="73" spans="1:11" ht="15">
      <c r="A73" s="51"/>
      <c r="B73" s="67" t="s">
        <v>213</v>
      </c>
      <c r="C73" s="68"/>
      <c r="D73" s="68"/>
      <c r="E73" s="68"/>
      <c r="F73" s="68"/>
      <c r="G73" s="68"/>
      <c r="H73" s="73">
        <f>16000+16000</f>
        <v>32000</v>
      </c>
      <c r="I73" s="41"/>
    </row>
    <row r="74" spans="1:11" ht="15">
      <c r="A74" s="51"/>
      <c r="B74" s="67" t="s">
        <v>334</v>
      </c>
      <c r="C74" s="68"/>
      <c r="D74" s="68"/>
      <c r="E74" s="68"/>
      <c r="F74" s="68"/>
      <c r="G74" s="68"/>
      <c r="H74" s="73">
        <v>20770</v>
      </c>
      <c r="I74" s="41"/>
    </row>
    <row r="75" spans="1:11" ht="15">
      <c r="A75" s="51"/>
      <c r="B75" s="67" t="s">
        <v>248</v>
      </c>
      <c r="C75" s="68"/>
      <c r="D75" s="68"/>
      <c r="E75" s="68"/>
      <c r="F75" s="68"/>
      <c r="G75" s="68"/>
      <c r="H75" s="73">
        <v>16000</v>
      </c>
      <c r="I75" s="41"/>
    </row>
    <row r="76" spans="1:11" ht="15">
      <c r="A76" s="51"/>
      <c r="B76" s="227" t="s">
        <v>271</v>
      </c>
      <c r="C76" s="228"/>
      <c r="D76" s="228"/>
      <c r="E76" s="228"/>
      <c r="F76" s="228"/>
      <c r="G76" s="228"/>
      <c r="H76" s="73">
        <f>Основное!$C$5*Основное!K36</f>
        <v>4036.6372622899949</v>
      </c>
      <c r="I76" s="41"/>
    </row>
    <row r="77" spans="1:11" ht="15">
      <c r="A77" s="51"/>
      <c r="B77" s="156" t="s">
        <v>353</v>
      </c>
      <c r="C77" s="90"/>
      <c r="D77" s="90"/>
      <c r="E77" s="90"/>
      <c r="F77" s="90"/>
      <c r="G77" s="90"/>
      <c r="H77" s="73">
        <f>Основное!$C$5*Основное!O36</f>
        <v>3875.1717717983956</v>
      </c>
      <c r="I77" s="41"/>
    </row>
    <row r="78" spans="1:11" ht="15">
      <c r="A78" s="51"/>
      <c r="B78" s="67" t="s">
        <v>272</v>
      </c>
      <c r="C78" s="158"/>
      <c r="D78" s="158"/>
      <c r="E78" s="158"/>
      <c r="F78" s="158"/>
      <c r="G78" s="158"/>
      <c r="H78" s="73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3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3">
        <f>Основное!$C$5*Основное!H40</f>
        <v>98021.645463008113</v>
      </c>
      <c r="I80" s="41"/>
    </row>
    <row r="81" spans="1:10" ht="15">
      <c r="A81" s="51">
        <v>5</v>
      </c>
      <c r="B81" s="67" t="s">
        <v>170</v>
      </c>
      <c r="C81" s="68"/>
      <c r="D81" s="68"/>
      <c r="E81" s="68"/>
      <c r="F81" s="68"/>
      <c r="G81" s="68"/>
      <c r="H81" s="73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3">
        <f>Основное!$C$5*Основное!H42</f>
        <v>46921.991777117786</v>
      </c>
      <c r="I82" s="41"/>
    </row>
    <row r="83" spans="1:10" ht="15">
      <c r="A83" s="51">
        <v>7</v>
      </c>
      <c r="B83" s="67" t="s">
        <v>132</v>
      </c>
      <c r="C83" s="68"/>
      <c r="D83" s="68"/>
      <c r="E83" s="68"/>
      <c r="F83" s="68"/>
      <c r="G83" s="68"/>
      <c r="H83" s="73">
        <f>Основное!$C$5*Основное!H43</f>
        <v>116998.37537124872</v>
      </c>
      <c r="I83" s="41"/>
    </row>
    <row r="84" spans="1:10" ht="15">
      <c r="A84" s="51">
        <v>8</v>
      </c>
      <c r="B84" s="67" t="s">
        <v>137</v>
      </c>
      <c r="C84" s="68"/>
      <c r="D84" s="68"/>
      <c r="E84" s="68"/>
      <c r="F84" s="68"/>
      <c r="G84" s="68"/>
      <c r="H84" s="73">
        <f>Основное!$C$5*Основное!H44</f>
        <v>24275.151270003102</v>
      </c>
      <c r="I84" s="41"/>
    </row>
    <row r="85" spans="1:10" ht="15">
      <c r="A85" s="51">
        <v>9</v>
      </c>
      <c r="B85" s="67" t="s">
        <v>199</v>
      </c>
      <c r="C85" s="68"/>
      <c r="D85" s="68"/>
      <c r="E85" s="68"/>
      <c r="F85" s="68"/>
      <c r="G85" s="68"/>
      <c r="H85" s="73">
        <f>'с ОПУ'!I2*'с ОПУ'!C2</f>
        <v>19635.213054791107</v>
      </c>
      <c r="I85" s="41"/>
    </row>
    <row r="86" spans="1:10" ht="15">
      <c r="A86" s="51">
        <v>10</v>
      </c>
      <c r="B86" s="67" t="s">
        <v>129</v>
      </c>
      <c r="C86" s="68"/>
      <c r="D86" s="68"/>
      <c r="E86" s="68"/>
      <c r="F86" s="68"/>
      <c r="G86" s="68"/>
      <c r="H86" s="73">
        <f>Основное!$C$5*Основное!H45</f>
        <v>4065.494924420409</v>
      </c>
      <c r="I86" s="41"/>
    </row>
    <row r="87" spans="1:10" ht="15">
      <c r="A87" s="51">
        <v>11</v>
      </c>
      <c r="B87" s="67" t="s">
        <v>135</v>
      </c>
      <c r="C87" s="68"/>
      <c r="D87" s="68"/>
      <c r="E87" s="68"/>
      <c r="F87" s="68"/>
      <c r="G87" s="68"/>
      <c r="H87" s="73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3">
        <f>Основное!$C$5*Основное!H47</f>
        <v>266455.55709472939</v>
      </c>
      <c r="I88" s="41"/>
    </row>
    <row r="89" spans="1:10" ht="15">
      <c r="A89" s="51">
        <v>13</v>
      </c>
      <c r="B89" s="67" t="s">
        <v>128</v>
      </c>
      <c r="C89" s="68"/>
      <c r="D89" s="68"/>
      <c r="E89" s="68"/>
      <c r="F89" s="68"/>
      <c r="G89" s="68"/>
      <c r="H89" s="73">
        <f>Основное!$C$5*Основное!H48</f>
        <v>53829.72594086617</v>
      </c>
      <c r="I89" s="41"/>
    </row>
    <row r="90" spans="1:10" ht="15">
      <c r="A90" s="51">
        <v>14</v>
      </c>
      <c r="B90" s="67" t="s">
        <v>122</v>
      </c>
      <c r="C90" s="68"/>
      <c r="D90" s="68"/>
      <c r="E90" s="68"/>
      <c r="F90" s="68"/>
      <c r="G90" s="68"/>
      <c r="H90" s="73">
        <f>Основное!$C$5*Основное!H49</f>
        <v>8398.8507912584773</v>
      </c>
      <c r="I90" s="41"/>
    </row>
    <row r="91" spans="1:10" ht="15">
      <c r="A91" s="51">
        <v>15</v>
      </c>
      <c r="B91" s="67" t="s">
        <v>371</v>
      </c>
      <c r="C91" s="68"/>
      <c r="D91" s="68"/>
      <c r="E91" s="68"/>
      <c r="F91" s="68"/>
      <c r="G91" s="68"/>
      <c r="H91" s="73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9" t="s">
        <v>274</v>
      </c>
      <c r="B93" s="219"/>
      <c r="C93" s="219"/>
      <c r="D93" s="219"/>
      <c r="E93" s="219"/>
      <c r="F93" s="219"/>
      <c r="G93" s="219"/>
      <c r="H93" s="219"/>
      <c r="I93" s="84"/>
      <c r="J93" s="84"/>
    </row>
    <row r="94" spans="1:10" s="44" customFormat="1">
      <c r="A94" s="21"/>
      <c r="B94" s="247"/>
      <c r="C94" s="247"/>
      <c r="D94" s="247"/>
      <c r="E94" s="247"/>
      <c r="F94" s="247"/>
      <c r="G94" s="247"/>
      <c r="H94" s="247"/>
      <c r="I94" s="53"/>
      <c r="J94" s="53"/>
    </row>
    <row r="95" spans="1:10" s="44" customFormat="1" ht="15.75">
      <c r="A95" s="210" t="s">
        <v>273</v>
      </c>
      <c r="B95" s="210"/>
      <c r="C95" s="210"/>
      <c r="D95" s="210"/>
      <c r="E95" s="210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30" t="s">
        <v>159</v>
      </c>
      <c r="F96" s="54"/>
      <c r="G96" s="45"/>
      <c r="H96" s="53"/>
      <c r="I96" s="53"/>
      <c r="J96" s="53"/>
    </row>
    <row r="97" spans="1:16" s="44" customFormat="1" ht="34.5" customHeight="1">
      <c r="A97" s="95" t="s">
        <v>207</v>
      </c>
      <c r="B97" s="128" t="s">
        <v>228</v>
      </c>
      <c r="C97" s="92" t="s">
        <v>160</v>
      </c>
      <c r="D97" s="97" t="s">
        <v>161</v>
      </c>
      <c r="E97" s="100" t="s">
        <v>208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1026.48</v>
      </c>
      <c r="B98" s="96">
        <v>4320</v>
      </c>
      <c r="C98" s="101">
        <v>4724</v>
      </c>
      <c r="D98" s="102">
        <v>6000</v>
      </c>
      <c r="E98" s="102">
        <f>SUM(A98:D98)</f>
        <v>16070.48</v>
      </c>
      <c r="F98" s="93"/>
      <c r="G98" s="94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8" t="s">
        <v>372</v>
      </c>
      <c r="B100" s="248"/>
      <c r="C100" s="248"/>
      <c r="D100" s="248"/>
      <c r="E100" s="248"/>
      <c r="F100" s="248"/>
      <c r="G100" s="248"/>
      <c r="H100" s="248"/>
      <c r="I100" s="57"/>
      <c r="J100" s="57"/>
      <c r="K100" s="57"/>
      <c r="L100" s="57"/>
      <c r="M100" s="57"/>
    </row>
    <row r="101" spans="1:16" ht="61.5" customHeight="1">
      <c r="A101" s="246" t="s">
        <v>373</v>
      </c>
      <c r="B101" s="246"/>
      <c r="C101" s="246"/>
      <c r="D101" s="246"/>
      <c r="E101" s="246"/>
      <c r="F101" s="246"/>
      <c r="G101" s="246"/>
      <c r="H101" s="246"/>
      <c r="I101" s="76"/>
      <c r="J101" s="76"/>
      <c r="K101" s="76"/>
      <c r="L101" s="76"/>
      <c r="M101" s="76"/>
      <c r="N101" s="76"/>
      <c r="O101" s="76"/>
      <c r="P101" s="76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2" t="s">
        <v>70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242" t="s">
        <v>140</v>
      </c>
      <c r="B104" s="242"/>
      <c r="C104" s="242"/>
      <c r="D104" s="242"/>
      <c r="E104" s="242"/>
      <c r="F104" s="242"/>
      <c r="G104" s="242"/>
      <c r="H104" s="242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243" t="s">
        <v>141</v>
      </c>
      <c r="B105" s="243"/>
      <c r="C105" s="243"/>
      <c r="D105" s="243"/>
      <c r="E105" s="243"/>
      <c r="F105" s="243"/>
      <c r="G105" s="243"/>
      <c r="H105" s="243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4" t="s">
        <v>194</v>
      </c>
      <c r="B106" s="244"/>
      <c r="C106" s="244"/>
      <c r="D106" s="244"/>
      <c r="E106" s="244"/>
      <c r="F106" s="244"/>
      <c r="G106" s="244"/>
      <c r="H106" s="244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236" t="s">
        <v>164</v>
      </c>
      <c r="B107" s="236"/>
      <c r="C107" s="236"/>
      <c r="D107" s="236"/>
      <c r="E107" s="236"/>
      <c r="F107" s="236"/>
      <c r="G107" s="236"/>
      <c r="H107" s="236"/>
      <c r="I107" s="150"/>
      <c r="J107" s="150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175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" customHeight="1">
      <c r="A7" s="39" t="s">
        <v>238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237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293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8" t="s">
        <v>283</v>
      </c>
      <c r="B18" s="218"/>
      <c r="C18" s="218"/>
      <c r="D18" s="218"/>
      <c r="E18" s="218"/>
      <c r="F18" s="218"/>
      <c r="G18" s="218"/>
      <c r="H18" s="218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/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201</v>
      </c>
      <c r="F21" s="256" t="s">
        <v>224</v>
      </c>
      <c r="G21" s="187" t="s">
        <v>146</v>
      </c>
      <c r="H21" s="221" t="s">
        <v>147</v>
      </c>
      <c r="I21" s="82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16" s="38" customFormat="1" ht="105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16" s="112" customFormat="1" ht="14.25">
      <c r="A24" s="190">
        <v>-377768.58043983998</v>
      </c>
      <c r="B24" s="191"/>
      <c r="C24" s="80">
        <v>202896.95999999996</v>
      </c>
      <c r="D24" s="80">
        <v>200289.65000000002</v>
      </c>
      <c r="E24" s="80">
        <v>45132</v>
      </c>
      <c r="F24" s="81">
        <f>C24-D24</f>
        <v>2607.3099999999395</v>
      </c>
      <c r="G24" s="81">
        <v>182051</v>
      </c>
      <c r="H24" s="110">
        <f>A24+D24+E24-G24-F24</f>
        <v>-317005.24043983989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0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0" s="44" customFormat="1" ht="15" customHeight="1">
      <c r="A34" s="211" t="s">
        <v>174</v>
      </c>
      <c r="B34" s="212"/>
      <c r="C34" s="67" t="s">
        <v>217</v>
      </c>
      <c r="D34" s="68"/>
      <c r="E34" s="68"/>
      <c r="F34" s="68"/>
      <c r="G34" s="68"/>
      <c r="H34" s="114">
        <f>4545+411+1760+304+304+1101+293</f>
        <v>8718</v>
      </c>
    </row>
    <row r="35" spans="1:10" s="44" customFormat="1" ht="15" customHeight="1">
      <c r="A35" s="213"/>
      <c r="B35" s="214"/>
      <c r="C35" s="67" t="s">
        <v>167</v>
      </c>
      <c r="D35" s="68"/>
      <c r="E35" s="68"/>
      <c r="F35" s="68"/>
      <c r="G35" s="68"/>
      <c r="H35" s="114">
        <f>12871+12871</f>
        <v>25742</v>
      </c>
    </row>
    <row r="36" spans="1:10" s="44" customFormat="1" ht="15" customHeight="1">
      <c r="A36" s="213"/>
      <c r="B36" s="214"/>
      <c r="C36" s="67" t="s">
        <v>331</v>
      </c>
      <c r="D36" s="68"/>
      <c r="E36" s="68"/>
      <c r="F36" s="68"/>
      <c r="G36" s="68"/>
      <c r="H36" s="114">
        <f>67580+76208</f>
        <v>143788</v>
      </c>
    </row>
    <row r="37" spans="1:10" s="44" customFormat="1" ht="15" customHeight="1">
      <c r="A37" s="213"/>
      <c r="B37" s="214"/>
      <c r="C37" s="67" t="s">
        <v>337</v>
      </c>
      <c r="D37" s="68"/>
      <c r="E37" s="68"/>
      <c r="F37" s="68"/>
      <c r="G37" s="68"/>
      <c r="H37" s="114">
        <v>842</v>
      </c>
    </row>
    <row r="38" spans="1:10" s="44" customFormat="1" ht="15" customHeight="1">
      <c r="A38" s="213"/>
      <c r="B38" s="214"/>
      <c r="C38" s="67" t="s">
        <v>315</v>
      </c>
      <c r="D38" s="68"/>
      <c r="E38" s="68"/>
      <c r="F38" s="68"/>
      <c r="G38" s="68"/>
      <c r="H38" s="114">
        <f>2009+952</f>
        <v>2961</v>
      </c>
    </row>
    <row r="39" spans="1:10" s="44" customFormat="1" ht="15" customHeight="1">
      <c r="A39" s="213"/>
      <c r="B39" s="214"/>
      <c r="C39" s="67"/>
      <c r="D39" s="68"/>
      <c r="E39" s="68"/>
      <c r="F39" s="68"/>
      <c r="G39" s="68"/>
      <c r="H39" s="115">
        <f>SUM(H34:H38)</f>
        <v>182051</v>
      </c>
    </row>
    <row r="40" spans="1:10" s="44" customFormat="1" ht="15">
      <c r="A40" s="213"/>
      <c r="B40" s="214"/>
      <c r="C40" s="202" t="s">
        <v>369</v>
      </c>
      <c r="D40" s="203"/>
      <c r="E40" s="203"/>
      <c r="F40" s="203"/>
      <c r="G40" s="204"/>
      <c r="H40" s="115"/>
    </row>
    <row r="41" spans="1:10" s="44" customFormat="1" ht="15">
      <c r="A41" s="213"/>
      <c r="B41" s="214"/>
      <c r="C41" s="67" t="s">
        <v>338</v>
      </c>
      <c r="D41" s="86"/>
      <c r="E41" s="86"/>
      <c r="F41" s="86"/>
      <c r="G41" s="86"/>
      <c r="H41" s="114">
        <f>4800+9351+24172+3241</f>
        <v>41564</v>
      </c>
    </row>
    <row r="42" spans="1:10" s="44" customFormat="1" ht="15">
      <c r="A42" s="213"/>
      <c r="B42" s="214"/>
      <c r="C42" s="67" t="s">
        <v>339</v>
      </c>
      <c r="D42" s="86"/>
      <c r="E42" s="86"/>
      <c r="F42" s="86"/>
      <c r="G42" s="86"/>
      <c r="H42" s="114">
        <v>416</v>
      </c>
    </row>
    <row r="43" spans="1:10" s="44" customFormat="1" ht="15">
      <c r="A43" s="213"/>
      <c r="B43" s="214"/>
      <c r="C43" s="67" t="s">
        <v>331</v>
      </c>
      <c r="D43" s="86"/>
      <c r="E43" s="86"/>
      <c r="F43" s="86"/>
      <c r="G43" s="86"/>
      <c r="H43" s="114">
        <f>9300+6510+9300</f>
        <v>25110</v>
      </c>
    </row>
    <row r="44" spans="1:10" s="44" customFormat="1" ht="15">
      <c r="A44" s="213"/>
      <c r="B44" s="214"/>
      <c r="C44" s="67" t="s">
        <v>167</v>
      </c>
      <c r="D44" s="86"/>
      <c r="E44" s="86"/>
      <c r="F44" s="86"/>
      <c r="G44" s="86"/>
      <c r="H44" s="114">
        <f>15760+15760</f>
        <v>31520</v>
      </c>
    </row>
    <row r="45" spans="1:10" s="44" customFormat="1" ht="15">
      <c r="A45" s="213"/>
      <c r="B45" s="214"/>
      <c r="C45" s="67" t="s">
        <v>336</v>
      </c>
      <c r="D45" s="86"/>
      <c r="E45" s="86"/>
      <c r="F45" s="86"/>
      <c r="G45" s="86"/>
      <c r="H45" s="114">
        <v>2315</v>
      </c>
    </row>
    <row r="46" spans="1:10" s="44" customFormat="1" ht="15" customHeight="1">
      <c r="A46" s="215"/>
      <c r="B46" s="216"/>
      <c r="C46" s="67" t="s">
        <v>255</v>
      </c>
      <c r="D46" s="68"/>
      <c r="E46" s="68"/>
      <c r="F46" s="68"/>
      <c r="G46" s="68"/>
      <c r="H46" s="114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9" t="s">
        <v>294</v>
      </c>
      <c r="B48" s="239"/>
      <c r="C48" s="239"/>
      <c r="D48" s="239"/>
      <c r="E48" s="239"/>
      <c r="F48" s="239"/>
      <c r="G48" s="239"/>
      <c r="H48" s="23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41" t="s">
        <v>370</v>
      </c>
      <c r="B50" s="241"/>
      <c r="C50" s="241"/>
      <c r="D50" s="241"/>
      <c r="E50" s="241"/>
      <c r="F50" s="241"/>
      <c r="G50" s="241"/>
      <c r="H50" s="241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2" t="s">
        <v>156</v>
      </c>
      <c r="I51" s="71"/>
      <c r="J51" s="47"/>
      <c r="M51" s="47"/>
      <c r="N51" s="47"/>
      <c r="O51" s="47"/>
      <c r="P51" s="47"/>
    </row>
    <row r="52" spans="1:16" ht="15.75">
      <c r="A52" s="205" t="s">
        <v>18</v>
      </c>
      <c r="B52" s="207"/>
      <c r="C52" s="205" t="s">
        <v>368</v>
      </c>
      <c r="D52" s="206"/>
      <c r="E52" s="206"/>
      <c r="F52" s="206"/>
      <c r="G52" s="207"/>
      <c r="H52" s="46" t="s">
        <v>155</v>
      </c>
      <c r="I52" s="47"/>
      <c r="J52" s="47"/>
      <c r="K52" s="47"/>
      <c r="L52" s="47"/>
    </row>
    <row r="53" spans="1:16" ht="15" customHeight="1">
      <c r="A53" s="211" t="s">
        <v>174</v>
      </c>
      <c r="B53" s="212"/>
      <c r="C53" s="230" t="s">
        <v>205</v>
      </c>
      <c r="D53" s="231"/>
      <c r="E53" s="231"/>
      <c r="F53" s="231"/>
      <c r="G53" s="232"/>
      <c r="H53" s="88">
        <f>819+417+1141+523+346+2419+562+560+966</f>
        <v>7753</v>
      </c>
      <c r="I53" s="47"/>
      <c r="J53" s="47"/>
      <c r="K53" s="47"/>
      <c r="L53" s="47"/>
    </row>
    <row r="54" spans="1:16" ht="15" customHeight="1">
      <c r="A54" s="213"/>
      <c r="B54" s="214"/>
      <c r="C54" s="230" t="s">
        <v>317</v>
      </c>
      <c r="D54" s="231"/>
      <c r="E54" s="231"/>
      <c r="F54" s="231"/>
      <c r="G54" s="232"/>
      <c r="H54" s="88">
        <f>469+394+840+990</f>
        <v>2693</v>
      </c>
      <c r="I54" s="47"/>
      <c r="J54" s="47"/>
      <c r="K54" s="47"/>
      <c r="L54" s="47"/>
    </row>
    <row r="55" spans="1:16" ht="15" customHeight="1">
      <c r="A55" s="213"/>
      <c r="B55" s="214"/>
      <c r="C55" s="230" t="s">
        <v>328</v>
      </c>
      <c r="D55" s="231"/>
      <c r="E55" s="231"/>
      <c r="F55" s="231"/>
      <c r="G55" s="232"/>
      <c r="H55" s="88">
        <v>3897</v>
      </c>
      <c r="I55" s="47"/>
      <c r="J55" s="47"/>
      <c r="K55" s="47"/>
      <c r="L55" s="47"/>
    </row>
    <row r="56" spans="1:16" ht="15" customHeight="1">
      <c r="A56" s="213"/>
      <c r="B56" s="214"/>
      <c r="C56" s="230" t="s">
        <v>320</v>
      </c>
      <c r="D56" s="231"/>
      <c r="E56" s="231"/>
      <c r="F56" s="231"/>
      <c r="G56" s="232"/>
      <c r="H56" s="88">
        <f>675+675</f>
        <v>1350</v>
      </c>
      <c r="I56" s="47"/>
      <c r="J56" s="47"/>
      <c r="K56" s="47"/>
      <c r="L56" s="47"/>
    </row>
    <row r="57" spans="1:16" ht="15" customHeight="1">
      <c r="A57" s="213"/>
      <c r="B57" s="214"/>
      <c r="C57" s="67" t="s">
        <v>130</v>
      </c>
      <c r="D57" s="90"/>
      <c r="E57" s="90"/>
      <c r="F57" s="90"/>
      <c r="G57" s="91"/>
      <c r="H57" s="88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5"/>
      <c r="B58" s="216"/>
      <c r="C58" s="227" t="s">
        <v>157</v>
      </c>
      <c r="D58" s="228"/>
      <c r="E58" s="228"/>
      <c r="F58" s="228"/>
      <c r="G58" s="229"/>
      <c r="H58" s="88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6" t="s">
        <v>88</v>
      </c>
      <c r="B60" s="186"/>
      <c r="C60" s="186"/>
      <c r="D60" s="186"/>
      <c r="E60" s="186"/>
      <c r="F60" s="186"/>
      <c r="G60" s="186"/>
      <c r="H60" s="186"/>
      <c r="I60" s="186"/>
      <c r="J60" s="186"/>
    </row>
    <row r="61" spans="1:16" ht="18" customHeight="1">
      <c r="A61" s="245" t="s">
        <v>17</v>
      </c>
      <c r="B61" s="245"/>
      <c r="C61" s="245"/>
      <c r="D61" s="245"/>
      <c r="E61" s="245"/>
      <c r="F61" s="245"/>
      <c r="G61" s="245"/>
      <c r="H61" s="245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8" t="s">
        <v>15</v>
      </c>
      <c r="B63" s="218"/>
      <c r="C63" s="218"/>
      <c r="D63" s="218"/>
      <c r="E63" s="218"/>
      <c r="F63" s="218"/>
      <c r="G63" s="218"/>
      <c r="H63" s="218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2" t="s">
        <v>162</v>
      </c>
      <c r="I64" s="71"/>
      <c r="J64" s="14"/>
    </row>
    <row r="65" spans="1:11" ht="15.75">
      <c r="A65" s="208" t="s">
        <v>16</v>
      </c>
      <c r="B65" s="208"/>
      <c r="C65" s="208"/>
      <c r="D65" s="208"/>
      <c r="E65" s="208"/>
      <c r="F65" s="208"/>
      <c r="G65" s="209"/>
      <c r="H65" s="74">
        <f>SUM(H80:H91)+H67+H74</f>
        <v>2205554.5223300559</v>
      </c>
      <c r="I65" s="72"/>
      <c r="J65" s="72"/>
    </row>
    <row r="66" spans="1:11" ht="15">
      <c r="A66" s="50" t="s">
        <v>4</v>
      </c>
      <c r="B66" s="199" t="s">
        <v>5</v>
      </c>
      <c r="C66" s="200"/>
      <c r="D66" s="200"/>
      <c r="E66" s="200"/>
      <c r="F66" s="200"/>
      <c r="G66" s="201"/>
      <c r="H66" s="75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SUM(H68:H73)</f>
        <v>59029.476754288757</v>
      </c>
      <c r="I67" s="41"/>
      <c r="K67" s="129">
        <f>Основное!$C$6*Основное!K35</f>
        <v>24919.476754288753</v>
      </c>
    </row>
    <row r="68" spans="1:11" ht="15">
      <c r="A68" s="51"/>
      <c r="B68" s="67" t="s">
        <v>203</v>
      </c>
      <c r="C68" s="68"/>
      <c r="D68" s="68"/>
      <c r="E68" s="68"/>
      <c r="F68" s="68"/>
      <c r="G68" s="68"/>
      <c r="H68" s="73">
        <f>3842+142+171+171+598+160</f>
        <v>5084</v>
      </c>
      <c r="I68" s="41"/>
    </row>
    <row r="69" spans="1:11" ht="15">
      <c r="A69" s="51"/>
      <c r="B69" s="67" t="s">
        <v>335</v>
      </c>
      <c r="C69" s="68"/>
      <c r="D69" s="68"/>
      <c r="E69" s="68"/>
      <c r="F69" s="68"/>
      <c r="G69" s="68"/>
      <c r="H69" s="73">
        <f>174+130+2009+10043+10043+236+315+495</f>
        <v>23445</v>
      </c>
      <c r="I69" s="41"/>
    </row>
    <row r="70" spans="1:11" ht="15">
      <c r="A70" s="51"/>
      <c r="B70" s="67" t="s">
        <v>211</v>
      </c>
      <c r="C70" s="68"/>
      <c r="D70" s="68"/>
      <c r="E70" s="68"/>
      <c r="F70" s="68"/>
      <c r="G70" s="68"/>
      <c r="H70" s="73">
        <v>246</v>
      </c>
      <c r="I70" s="41"/>
    </row>
    <row r="71" spans="1:11" ht="15">
      <c r="A71" s="51"/>
      <c r="B71" s="67" t="s">
        <v>329</v>
      </c>
      <c r="C71" s="68"/>
      <c r="D71" s="68"/>
      <c r="E71" s="68"/>
      <c r="F71" s="68"/>
      <c r="G71" s="68"/>
      <c r="H71" s="73">
        <f>351+148+470+254+112+1176+1809+223+294+498</f>
        <v>5335</v>
      </c>
      <c r="I71" s="41"/>
    </row>
    <row r="72" spans="1:11" ht="15">
      <c r="A72" s="51"/>
      <c r="B72" s="67" t="s">
        <v>213</v>
      </c>
      <c r="C72" s="68"/>
      <c r="D72" s="68"/>
      <c r="E72" s="68"/>
      <c r="F72" s="68"/>
      <c r="G72" s="68"/>
      <c r="H72" s="73"/>
      <c r="I72" s="41"/>
    </row>
    <row r="73" spans="1:11" ht="48.75" customHeight="1">
      <c r="A73" s="51"/>
      <c r="B73" s="222" t="s">
        <v>226</v>
      </c>
      <c r="C73" s="223"/>
      <c r="D73" s="223"/>
      <c r="E73" s="223"/>
      <c r="F73" s="223"/>
      <c r="G73" s="223"/>
      <c r="H73" s="73">
        <f>K67</f>
        <v>24919.476754288753</v>
      </c>
      <c r="I73" s="41"/>
    </row>
    <row r="74" spans="1:11" ht="15.75">
      <c r="A74" s="51" t="s">
        <v>9</v>
      </c>
      <c r="B74" s="67" t="s">
        <v>136</v>
      </c>
      <c r="C74" s="68"/>
      <c r="D74" s="68"/>
      <c r="E74" s="68"/>
      <c r="F74" s="68"/>
      <c r="G74" s="68"/>
      <c r="H74" s="87">
        <f>SUM(H75:H79)</f>
        <v>181039.22704907134</v>
      </c>
      <c r="I74" s="41"/>
    </row>
    <row r="75" spans="1:11" ht="15">
      <c r="A75" s="51"/>
      <c r="B75" s="67" t="s">
        <v>219</v>
      </c>
      <c r="C75" s="68"/>
      <c r="D75" s="68"/>
      <c r="E75" s="68"/>
      <c r="F75" s="68"/>
      <c r="G75" s="68"/>
      <c r="H75" s="73">
        <f>2800+2800</f>
        <v>5600</v>
      </c>
      <c r="I75" s="41"/>
    </row>
    <row r="76" spans="1:11" ht="15">
      <c r="A76" s="51"/>
      <c r="B76" s="67" t="s">
        <v>218</v>
      </c>
      <c r="C76" s="68"/>
      <c r="D76" s="68"/>
      <c r="E76" s="68"/>
      <c r="F76" s="68"/>
      <c r="G76" s="68"/>
      <c r="H76" s="73">
        <f>67580+76802</f>
        <v>144382</v>
      </c>
      <c r="I76" s="41"/>
    </row>
    <row r="77" spans="1:11" ht="15">
      <c r="A77" s="51"/>
      <c r="B77" s="227" t="s">
        <v>271</v>
      </c>
      <c r="C77" s="228"/>
      <c r="D77" s="228"/>
      <c r="E77" s="228"/>
      <c r="F77" s="228"/>
      <c r="G77" s="228"/>
      <c r="H77" s="73">
        <f>Основное!$C$6*Основное!K36</f>
        <v>11894.47254975841</v>
      </c>
      <c r="I77" s="41"/>
    </row>
    <row r="78" spans="1:11" ht="15">
      <c r="A78" s="51"/>
      <c r="B78" s="156" t="s">
        <v>353</v>
      </c>
      <c r="C78" s="90"/>
      <c r="D78" s="90"/>
      <c r="E78" s="90"/>
      <c r="F78" s="90"/>
      <c r="G78" s="90"/>
      <c r="H78" s="73">
        <f>Основное!$C$6*Основное!O36</f>
        <v>11418.693647768074</v>
      </c>
      <c r="I78" s="41"/>
    </row>
    <row r="79" spans="1:11" ht="15">
      <c r="A79" s="51"/>
      <c r="B79" s="67" t="s">
        <v>272</v>
      </c>
      <c r="C79" s="158"/>
      <c r="D79" s="158"/>
      <c r="E79" s="158"/>
      <c r="F79" s="158"/>
      <c r="G79" s="158"/>
      <c r="H79" s="73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3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3">
        <f>Основное!$C$6*Основное!H40</f>
        <v>288833.42631100665</v>
      </c>
      <c r="I81" s="41"/>
    </row>
    <row r="82" spans="1:10" ht="15">
      <c r="A82" s="51">
        <v>5</v>
      </c>
      <c r="B82" s="67" t="s">
        <v>170</v>
      </c>
      <c r="C82" s="68"/>
      <c r="D82" s="68"/>
      <c r="E82" s="68"/>
      <c r="F82" s="68"/>
      <c r="G82" s="68"/>
      <c r="H82" s="73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3">
        <f>Основное!$C$6*Основное!H42</f>
        <v>138261.70322182943</v>
      </c>
      <c r="I83" s="41"/>
    </row>
    <row r="84" spans="1:10" ht="15">
      <c r="A84" s="51">
        <v>7</v>
      </c>
      <c r="B84" s="67" t="s">
        <v>132</v>
      </c>
      <c r="C84" s="68"/>
      <c r="D84" s="68"/>
      <c r="E84" s="68"/>
      <c r="F84" s="68"/>
      <c r="G84" s="68"/>
      <c r="H84" s="73">
        <f>Основное!$C$6*Основное!H43</f>
        <v>344750.80959594838</v>
      </c>
      <c r="I84" s="41"/>
    </row>
    <row r="85" spans="1:10" ht="15">
      <c r="A85" s="51">
        <v>8</v>
      </c>
      <c r="B85" s="67" t="s">
        <v>137</v>
      </c>
      <c r="C85" s="68"/>
      <c r="D85" s="68"/>
      <c r="E85" s="68"/>
      <c r="F85" s="68"/>
      <c r="G85" s="68"/>
      <c r="H85" s="73">
        <f>Основное!$C$6*Основное!H44</f>
        <v>71529.865494647354</v>
      </c>
      <c r="I85" s="41"/>
    </row>
    <row r="86" spans="1:10" ht="15">
      <c r="A86" s="51">
        <v>9</v>
      </c>
      <c r="B86" s="67" t="s">
        <v>129</v>
      </c>
      <c r="C86" s="68"/>
      <c r="D86" s="68"/>
      <c r="E86" s="68"/>
      <c r="F86" s="68"/>
      <c r="G86" s="68"/>
      <c r="H86" s="73">
        <f>Основное!$C$6*Основное!H45</f>
        <v>11979.505374794981</v>
      </c>
      <c r="I86" s="41"/>
    </row>
    <row r="87" spans="1:10" ht="15">
      <c r="A87" s="51">
        <v>10</v>
      </c>
      <c r="B87" s="67" t="s">
        <v>135</v>
      </c>
      <c r="C87" s="68"/>
      <c r="D87" s="68"/>
      <c r="E87" s="68"/>
      <c r="F87" s="68"/>
      <c r="G87" s="68"/>
      <c r="H87" s="73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3">
        <f>Основное!$C$6*Основное!H47</f>
        <v>785145.68034182582</v>
      </c>
      <c r="I88" s="41"/>
    </row>
    <row r="89" spans="1:10" ht="15">
      <c r="A89" s="51">
        <v>12</v>
      </c>
      <c r="B89" s="67" t="s">
        <v>128</v>
      </c>
      <c r="C89" s="68"/>
      <c r="D89" s="68"/>
      <c r="E89" s="68"/>
      <c r="F89" s="68"/>
      <c r="G89" s="68"/>
      <c r="H89" s="73">
        <f>Основное!$C$6*Основное!H48</f>
        <v>158616.23325585132</v>
      </c>
      <c r="I89" s="41"/>
    </row>
    <row r="90" spans="1:10" ht="15">
      <c r="A90" s="51">
        <v>13</v>
      </c>
      <c r="B90" s="67" t="s">
        <v>122</v>
      </c>
      <c r="C90" s="68"/>
      <c r="D90" s="68"/>
      <c r="E90" s="68"/>
      <c r="F90" s="68"/>
      <c r="G90" s="68"/>
      <c r="H90" s="73">
        <f>Основное!$C$6*Основное!H49</f>
        <v>24748.297579125847</v>
      </c>
      <c r="I90" s="41"/>
    </row>
    <row r="91" spans="1:10" ht="15">
      <c r="A91" s="51">
        <v>14</v>
      </c>
      <c r="B91" s="67" t="s">
        <v>371</v>
      </c>
      <c r="C91" s="68"/>
      <c r="D91" s="68"/>
      <c r="E91" s="68"/>
      <c r="F91" s="68"/>
      <c r="G91" s="68"/>
      <c r="H91" s="73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9" t="s">
        <v>239</v>
      </c>
      <c r="B93" s="219"/>
      <c r="C93" s="219"/>
      <c r="D93" s="219"/>
      <c r="E93" s="219"/>
      <c r="F93" s="219"/>
      <c r="G93" s="219"/>
      <c r="H93" s="219"/>
      <c r="I93" s="84"/>
      <c r="J93" s="84"/>
    </row>
    <row r="94" spans="1:10" s="44" customFormat="1">
      <c r="A94" s="21"/>
      <c r="B94" s="247"/>
      <c r="C94" s="247"/>
      <c r="D94" s="247"/>
      <c r="E94" s="247"/>
      <c r="F94" s="247"/>
      <c r="G94" s="247"/>
      <c r="H94" s="247"/>
      <c r="I94" s="53"/>
      <c r="J94" s="53"/>
    </row>
    <row r="95" spans="1:10" s="44" customFormat="1" ht="15.75">
      <c r="A95" s="210" t="s">
        <v>273</v>
      </c>
      <c r="B95" s="210"/>
      <c r="C95" s="210"/>
      <c r="D95" s="210"/>
      <c r="E95" s="210"/>
      <c r="F95" s="210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159</v>
      </c>
      <c r="G96" s="45"/>
      <c r="H96" s="53"/>
      <c r="I96" s="53"/>
      <c r="J96" s="53"/>
    </row>
    <row r="97" spans="1:16" s="44" customFormat="1" ht="42" customHeight="1">
      <c r="A97" s="128" t="s">
        <v>228</v>
      </c>
      <c r="B97" s="92" t="s">
        <v>160</v>
      </c>
      <c r="C97" s="97" t="s">
        <v>161</v>
      </c>
      <c r="D97" s="147" t="s">
        <v>240</v>
      </c>
      <c r="E97" s="100" t="s">
        <v>208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12960</v>
      </c>
      <c r="B98" s="101">
        <v>14172</v>
      </c>
      <c r="C98" s="102">
        <v>12000</v>
      </c>
      <c r="D98" s="102">
        <v>6000</v>
      </c>
      <c r="E98" s="105">
        <f>SUM(A98:D98)</f>
        <v>45132</v>
      </c>
      <c r="F98" s="94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8" t="s">
        <v>372</v>
      </c>
      <c r="B100" s="248"/>
      <c r="C100" s="248"/>
      <c r="D100" s="248"/>
      <c r="E100" s="248"/>
      <c r="F100" s="248"/>
      <c r="G100" s="248"/>
      <c r="H100" s="248"/>
      <c r="I100" s="57"/>
      <c r="J100" s="57"/>
      <c r="K100" s="57"/>
      <c r="L100" s="57"/>
      <c r="M100" s="57"/>
    </row>
    <row r="101" spans="1:16" ht="59.25" customHeight="1">
      <c r="A101" s="246" t="s">
        <v>373</v>
      </c>
      <c r="B101" s="246"/>
      <c r="C101" s="246"/>
      <c r="D101" s="246"/>
      <c r="E101" s="246"/>
      <c r="F101" s="246"/>
      <c r="G101" s="246"/>
      <c r="H101" s="246"/>
      <c r="I101" s="76"/>
      <c r="J101" s="76"/>
      <c r="K101" s="76"/>
      <c r="L101" s="76"/>
      <c r="M101" s="76"/>
      <c r="N101" s="76"/>
      <c r="O101" s="76"/>
      <c r="P101" s="76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2" t="s">
        <v>70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242" t="s">
        <v>140</v>
      </c>
      <c r="B104" s="242"/>
      <c r="C104" s="242"/>
      <c r="D104" s="242"/>
      <c r="E104" s="242"/>
      <c r="F104" s="242"/>
      <c r="G104" s="242"/>
      <c r="H104" s="242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243" t="s">
        <v>141</v>
      </c>
      <c r="B105" s="243"/>
      <c r="C105" s="243"/>
      <c r="D105" s="243"/>
      <c r="E105" s="243"/>
      <c r="F105" s="243"/>
      <c r="G105" s="243"/>
      <c r="H105" s="243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4" t="s">
        <v>194</v>
      </c>
      <c r="B106" s="244"/>
      <c r="C106" s="244"/>
      <c r="D106" s="244"/>
      <c r="E106" s="244"/>
      <c r="F106" s="244"/>
      <c r="G106" s="244"/>
      <c r="H106" s="244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236" t="s">
        <v>164</v>
      </c>
      <c r="B107" s="236"/>
      <c r="C107" s="236"/>
      <c r="D107" s="236"/>
      <c r="E107" s="236"/>
      <c r="F107" s="236"/>
      <c r="G107" s="236"/>
      <c r="H107" s="236"/>
      <c r="I107" s="150"/>
      <c r="J107" s="150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176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" customHeight="1">
      <c r="A7" s="39" t="s">
        <v>242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241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295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201</v>
      </c>
      <c r="F21" s="256" t="s">
        <v>224</v>
      </c>
      <c r="G21" s="187" t="s">
        <v>146</v>
      </c>
      <c r="H21" s="221" t="s">
        <v>147</v>
      </c>
      <c r="I21" s="82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16" s="38" customFormat="1" ht="102.75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16" s="112" customFormat="1" ht="14.25">
      <c r="A24" s="190">
        <v>147295.09534621992</v>
      </c>
      <c r="B24" s="191"/>
      <c r="C24" s="80">
        <v>202685.40000000002</v>
      </c>
      <c r="D24" s="80">
        <v>204583.72999999998</v>
      </c>
      <c r="E24" s="80">
        <v>46379.4</v>
      </c>
      <c r="F24" s="81">
        <f>C24-D24</f>
        <v>-1898.3299999999581</v>
      </c>
      <c r="G24" s="81">
        <v>140202</v>
      </c>
      <c r="H24" s="110">
        <f>A24+D24+E24-G24-F24</f>
        <v>259954.55534621992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0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0" s="44" customFormat="1" ht="15" customHeight="1">
      <c r="A34" s="249" t="s">
        <v>177</v>
      </c>
      <c r="B34" s="249"/>
      <c r="C34" s="67" t="s">
        <v>315</v>
      </c>
      <c r="D34" s="68"/>
      <c r="E34" s="68"/>
      <c r="F34" s="68"/>
      <c r="G34" s="68"/>
      <c r="H34" s="114">
        <v>1611</v>
      </c>
    </row>
    <row r="35" spans="1:10" s="44" customFormat="1" ht="15" customHeight="1">
      <c r="A35" s="249"/>
      <c r="B35" s="249"/>
      <c r="C35" s="67" t="s">
        <v>217</v>
      </c>
      <c r="D35" s="68"/>
      <c r="E35" s="68"/>
      <c r="F35" s="68"/>
      <c r="G35" s="68"/>
      <c r="H35" s="114">
        <f>1770+1181+990+297+321</f>
        <v>4559</v>
      </c>
    </row>
    <row r="36" spans="1:10" s="44" customFormat="1" ht="15" customHeight="1">
      <c r="A36" s="249"/>
      <c r="B36" s="249"/>
      <c r="C36" s="67" t="s">
        <v>344</v>
      </c>
      <c r="D36" s="68"/>
      <c r="E36" s="68"/>
      <c r="F36" s="68"/>
      <c r="G36" s="68"/>
      <c r="H36" s="114">
        <v>5714</v>
      </c>
    </row>
    <row r="37" spans="1:10" s="44" customFormat="1" ht="15" customHeight="1">
      <c r="A37" s="249"/>
      <c r="B37" s="249"/>
      <c r="C37" s="67" t="s">
        <v>342</v>
      </c>
      <c r="D37" s="68"/>
      <c r="E37" s="68"/>
      <c r="F37" s="68"/>
      <c r="G37" s="68"/>
      <c r="H37" s="114">
        <f>47150+23575+47150</f>
        <v>117875</v>
      </c>
    </row>
    <row r="38" spans="1:10" s="44" customFormat="1" ht="15" customHeight="1">
      <c r="A38" s="249"/>
      <c r="B38" s="249"/>
      <c r="C38" s="67" t="s">
        <v>255</v>
      </c>
      <c r="D38" s="68"/>
      <c r="E38" s="68"/>
      <c r="F38" s="68"/>
      <c r="G38" s="68"/>
      <c r="H38" s="114">
        <f>7015+3428</f>
        <v>10443</v>
      </c>
    </row>
    <row r="39" spans="1:10" s="44" customFormat="1" ht="15" customHeight="1">
      <c r="A39" s="249"/>
      <c r="B39" s="249"/>
      <c r="C39" s="67"/>
      <c r="D39" s="68"/>
      <c r="E39" s="68"/>
      <c r="F39" s="68"/>
      <c r="G39" s="68"/>
      <c r="H39" s="115">
        <f>SUM(H34:H38)</f>
        <v>140202</v>
      </c>
    </row>
    <row r="40" spans="1:10" s="44" customFormat="1" ht="15">
      <c r="A40" s="249"/>
      <c r="B40" s="249"/>
      <c r="C40" s="202" t="s">
        <v>369</v>
      </c>
      <c r="D40" s="203"/>
      <c r="E40" s="203"/>
      <c r="F40" s="203"/>
      <c r="G40" s="204"/>
      <c r="H40" s="115"/>
    </row>
    <row r="41" spans="1:10" s="44" customFormat="1" ht="15">
      <c r="A41" s="249"/>
      <c r="B41" s="249"/>
      <c r="C41" s="67" t="s">
        <v>341</v>
      </c>
      <c r="D41" s="86"/>
      <c r="E41" s="86"/>
      <c r="F41" s="86"/>
      <c r="G41" s="86"/>
      <c r="H41" s="114">
        <f>8000+16134+6749+9919</f>
        <v>40802</v>
      </c>
    </row>
    <row r="42" spans="1:10" s="44" customFormat="1" ht="15">
      <c r="A42" s="249"/>
      <c r="B42" s="249"/>
      <c r="C42" s="67" t="s">
        <v>153</v>
      </c>
      <c r="D42" s="86"/>
      <c r="E42" s="86"/>
      <c r="F42" s="86"/>
      <c r="G42" s="86"/>
      <c r="H42" s="114">
        <f>5580+31620</f>
        <v>37200</v>
      </c>
    </row>
    <row r="43" spans="1:10" s="44" customFormat="1" ht="15">
      <c r="A43" s="249"/>
      <c r="B43" s="249"/>
      <c r="C43" s="67" t="s">
        <v>342</v>
      </c>
      <c r="D43" s="86"/>
      <c r="E43" s="86"/>
      <c r="F43" s="86"/>
      <c r="G43" s="86"/>
      <c r="H43" s="114">
        <v>23575</v>
      </c>
    </row>
    <row r="44" spans="1:10" s="44" customFormat="1" ht="15">
      <c r="A44" s="249"/>
      <c r="B44" s="249"/>
      <c r="C44" s="67" t="s">
        <v>336</v>
      </c>
      <c r="D44" s="86"/>
      <c r="E44" s="86"/>
      <c r="F44" s="86"/>
      <c r="G44" s="86"/>
      <c r="H44" s="114">
        <v>2315</v>
      </c>
    </row>
    <row r="45" spans="1:10" s="44" customFormat="1" ht="15" customHeight="1">
      <c r="A45" s="249"/>
      <c r="B45" s="249"/>
      <c r="C45" s="67" t="s">
        <v>255</v>
      </c>
      <c r="D45" s="68"/>
      <c r="E45" s="68"/>
      <c r="F45" s="68"/>
      <c r="G45" s="68"/>
      <c r="H45" s="114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6"/>
      <c r="I46" s="36"/>
      <c r="J46" s="36"/>
    </row>
    <row r="47" spans="1:10" ht="42.75" customHeight="1">
      <c r="A47" s="263" t="s">
        <v>296</v>
      </c>
      <c r="B47" s="263"/>
      <c r="C47" s="263"/>
      <c r="D47" s="263"/>
      <c r="E47" s="263"/>
      <c r="F47" s="263"/>
      <c r="G47" s="263"/>
      <c r="H47" s="263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41" t="s">
        <v>378</v>
      </c>
      <c r="B49" s="241"/>
      <c r="C49" s="241"/>
      <c r="D49" s="241"/>
      <c r="E49" s="241"/>
      <c r="F49" s="241"/>
      <c r="G49" s="241"/>
      <c r="H49" s="241"/>
      <c r="I49" s="104"/>
      <c r="J49" s="104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2" t="s">
        <v>156</v>
      </c>
      <c r="I50" s="71"/>
      <c r="J50" s="47"/>
      <c r="M50" s="47"/>
      <c r="N50" s="47"/>
      <c r="O50" s="47"/>
      <c r="P50" s="47"/>
    </row>
    <row r="51" spans="1:16" ht="15.75">
      <c r="A51" s="205" t="s">
        <v>18</v>
      </c>
      <c r="B51" s="207"/>
      <c r="C51" s="205" t="s">
        <v>368</v>
      </c>
      <c r="D51" s="206"/>
      <c r="E51" s="206"/>
      <c r="F51" s="206"/>
      <c r="G51" s="207"/>
      <c r="H51" s="46" t="s">
        <v>155</v>
      </c>
      <c r="I51" s="47"/>
      <c r="J51" s="47"/>
      <c r="K51" s="47"/>
      <c r="L51" s="47"/>
    </row>
    <row r="52" spans="1:16" ht="15" customHeight="1">
      <c r="A52" s="249" t="s">
        <v>177</v>
      </c>
      <c r="B52" s="249"/>
      <c r="C52" s="230" t="s">
        <v>205</v>
      </c>
      <c r="D52" s="231"/>
      <c r="E52" s="231"/>
      <c r="F52" s="231"/>
      <c r="G52" s="232"/>
      <c r="H52" s="88">
        <f>763+1007+427+1020+1024+496+476+650</f>
        <v>5863</v>
      </c>
      <c r="I52" s="47"/>
      <c r="J52" s="47"/>
      <c r="K52" s="47"/>
      <c r="L52" s="47"/>
    </row>
    <row r="53" spans="1:16" ht="15" customHeight="1">
      <c r="A53" s="249"/>
      <c r="B53" s="249"/>
      <c r="C53" s="67" t="s">
        <v>130</v>
      </c>
      <c r="D53" s="90"/>
      <c r="E53" s="90"/>
      <c r="F53" s="90"/>
      <c r="G53" s="91"/>
      <c r="H53" s="88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9"/>
      <c r="B54" s="249"/>
      <c r="C54" s="202" t="s">
        <v>369</v>
      </c>
      <c r="D54" s="203"/>
      <c r="E54" s="203"/>
      <c r="F54" s="203"/>
      <c r="G54" s="204"/>
      <c r="H54" s="88"/>
      <c r="I54" s="47"/>
      <c r="J54" s="47"/>
      <c r="K54" s="47"/>
      <c r="L54" s="47"/>
    </row>
    <row r="55" spans="1:16" ht="14.25">
      <c r="A55" s="249"/>
      <c r="B55" s="249"/>
      <c r="C55" s="227" t="s">
        <v>157</v>
      </c>
      <c r="D55" s="228"/>
      <c r="E55" s="228"/>
      <c r="F55" s="228"/>
      <c r="G55" s="229"/>
      <c r="H55" s="73">
        <v>11432.24</v>
      </c>
      <c r="I55" s="36"/>
      <c r="J55" s="36"/>
    </row>
    <row r="56" spans="1:16" ht="15">
      <c r="A56" s="79"/>
      <c r="B56" s="79"/>
      <c r="C56" s="108"/>
      <c r="D56" s="108"/>
      <c r="E56" s="108"/>
      <c r="F56" s="108"/>
      <c r="G56" s="108"/>
      <c r="H56" s="121"/>
      <c r="I56" s="36"/>
      <c r="J56" s="36"/>
    </row>
    <row r="57" spans="1:16">
      <c r="A57" s="186" t="s">
        <v>88</v>
      </c>
      <c r="B57" s="186"/>
      <c r="C57" s="186"/>
      <c r="D57" s="186"/>
      <c r="E57" s="186"/>
      <c r="F57" s="186"/>
      <c r="G57" s="186"/>
      <c r="H57" s="186"/>
      <c r="I57" s="186"/>
      <c r="J57" s="186"/>
    </row>
    <row r="58" spans="1:16" ht="18" customHeight="1">
      <c r="A58" s="245" t="s">
        <v>17</v>
      </c>
      <c r="B58" s="245"/>
      <c r="C58" s="245"/>
      <c r="D58" s="245"/>
      <c r="E58" s="245"/>
      <c r="F58" s="245"/>
      <c r="G58" s="245"/>
      <c r="H58" s="245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8" t="s">
        <v>15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6" ht="15.75">
      <c r="A61" s="14"/>
      <c r="B61" s="14"/>
      <c r="C61" s="14"/>
      <c r="D61" s="14"/>
      <c r="E61" s="14"/>
      <c r="F61" s="14"/>
      <c r="G61" s="14"/>
      <c r="H61" s="172" t="s">
        <v>162</v>
      </c>
      <c r="I61" s="71"/>
      <c r="J61" s="14"/>
    </row>
    <row r="62" spans="1:16" ht="15.75">
      <c r="A62" s="208" t="s">
        <v>16</v>
      </c>
      <c r="B62" s="208"/>
      <c r="C62" s="208"/>
      <c r="D62" s="208"/>
      <c r="E62" s="208"/>
      <c r="F62" s="208"/>
      <c r="G62" s="209"/>
      <c r="H62" s="74">
        <f>SUM(H76:H87)+H64+H71</f>
        <v>2153897.6797873541</v>
      </c>
      <c r="I62" s="72"/>
      <c r="J62" s="72"/>
    </row>
    <row r="63" spans="1:16" ht="15">
      <c r="A63" s="50" t="s">
        <v>4</v>
      </c>
      <c r="B63" s="199" t="s">
        <v>5</v>
      </c>
      <c r="C63" s="200"/>
      <c r="D63" s="200"/>
      <c r="E63" s="200"/>
      <c r="F63" s="200"/>
      <c r="G63" s="201"/>
      <c r="H63" s="75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SUM(H65:H70)</f>
        <v>41585.196573429675</v>
      </c>
      <c r="I64" s="41"/>
      <c r="K64" s="129">
        <f>Основное!$C$7*Основное!K35</f>
        <v>24893.196573429675</v>
      </c>
    </row>
    <row r="65" spans="1:13" ht="15">
      <c r="A65" s="51"/>
      <c r="B65" s="67" t="s">
        <v>203</v>
      </c>
      <c r="C65" s="68"/>
      <c r="D65" s="68"/>
      <c r="E65" s="68"/>
      <c r="F65" s="68"/>
      <c r="G65" s="68"/>
      <c r="H65" s="73">
        <f>863+509+452+164+689+188</f>
        <v>2865</v>
      </c>
      <c r="I65" s="41"/>
    </row>
    <row r="66" spans="1:13" ht="15">
      <c r="A66" s="51"/>
      <c r="B66" s="67" t="s">
        <v>319</v>
      </c>
      <c r="C66" s="68"/>
      <c r="D66" s="68"/>
      <c r="E66" s="68"/>
      <c r="F66" s="68"/>
      <c r="G66" s="68"/>
      <c r="H66" s="73">
        <f>1611+5714</f>
        <v>7325</v>
      </c>
      <c r="I66" s="41"/>
    </row>
    <row r="67" spans="1:13" ht="15">
      <c r="A67" s="51"/>
      <c r="B67" s="67" t="s">
        <v>211</v>
      </c>
      <c r="C67" s="68"/>
      <c r="D67" s="68"/>
      <c r="E67" s="68"/>
      <c r="F67" s="68"/>
      <c r="G67" s="68"/>
      <c r="H67" s="73">
        <f>2620+1958</f>
        <v>4578</v>
      </c>
      <c r="I67" s="41"/>
    </row>
    <row r="68" spans="1:13" ht="15">
      <c r="A68" s="51"/>
      <c r="B68" s="67" t="s">
        <v>206</v>
      </c>
      <c r="C68" s="68"/>
      <c r="D68" s="68"/>
      <c r="E68" s="68"/>
      <c r="F68" s="68"/>
      <c r="G68" s="68"/>
      <c r="H68" s="73">
        <f>327+403+193+315+161+210+315</f>
        <v>1924</v>
      </c>
      <c r="I68" s="41"/>
    </row>
    <row r="69" spans="1:13" ht="15">
      <c r="A69" s="51"/>
      <c r="B69" s="67" t="s">
        <v>213</v>
      </c>
      <c r="C69" s="68"/>
      <c r="D69" s="68"/>
      <c r="E69" s="68"/>
      <c r="F69" s="68"/>
      <c r="G69" s="68"/>
      <c r="H69" s="73"/>
      <c r="I69" s="41"/>
      <c r="M69" s="127"/>
    </row>
    <row r="70" spans="1:13" ht="50.25" customHeight="1">
      <c r="A70" s="51"/>
      <c r="B70" s="222" t="s">
        <v>226</v>
      </c>
      <c r="C70" s="223"/>
      <c r="D70" s="223"/>
      <c r="E70" s="223"/>
      <c r="F70" s="223"/>
      <c r="G70" s="223"/>
      <c r="H70" s="73">
        <f>K64</f>
        <v>24893.196573429675</v>
      </c>
      <c r="I70" s="41"/>
      <c r="M70" s="127"/>
    </row>
    <row r="71" spans="1:13" ht="15.75">
      <c r="A71" s="51" t="s">
        <v>9</v>
      </c>
      <c r="B71" s="67" t="s">
        <v>136</v>
      </c>
      <c r="C71" s="68"/>
      <c r="D71" s="68"/>
      <c r="E71" s="68"/>
      <c r="F71" s="68"/>
      <c r="G71" s="68"/>
      <c r="H71" s="87">
        <f>SUM(H72:H75)</f>
        <v>148899.47397195501</v>
      </c>
      <c r="I71" s="41"/>
      <c r="M71" s="127"/>
    </row>
    <row r="72" spans="1:13" ht="15">
      <c r="A72" s="51"/>
      <c r="B72" s="67" t="s">
        <v>343</v>
      </c>
      <c r="C72" s="68"/>
      <c r="D72" s="68"/>
      <c r="E72" s="68"/>
      <c r="F72" s="68"/>
      <c r="G72" s="68"/>
      <c r="H72" s="73">
        <f>47150+23575+47150</f>
        <v>117875</v>
      </c>
      <c r="I72" s="41"/>
    </row>
    <row r="73" spans="1:13" ht="15">
      <c r="A73" s="51"/>
      <c r="B73" s="227" t="s">
        <v>271</v>
      </c>
      <c r="C73" s="228"/>
      <c r="D73" s="228"/>
      <c r="E73" s="228"/>
      <c r="F73" s="228"/>
      <c r="G73" s="228"/>
      <c r="H73" s="73">
        <f>Основное!$C$7*Основное!K36</f>
        <v>11881.92859095409</v>
      </c>
      <c r="I73" s="41"/>
    </row>
    <row r="74" spans="1:13" ht="15">
      <c r="A74" s="51"/>
      <c r="B74" s="156" t="s">
        <v>353</v>
      </c>
      <c r="C74" s="90"/>
      <c r="D74" s="90"/>
      <c r="E74" s="90"/>
      <c r="F74" s="90"/>
      <c r="G74" s="90"/>
      <c r="H74" s="73">
        <f>Основное!$C$7*Основное!O36</f>
        <v>11406.651447315928</v>
      </c>
      <c r="I74" s="41"/>
    </row>
    <row r="75" spans="1:13" ht="15">
      <c r="A75" s="51"/>
      <c r="B75" s="67" t="s">
        <v>272</v>
      </c>
      <c r="C75" s="158"/>
      <c r="D75" s="158"/>
      <c r="E75" s="158"/>
      <c r="F75" s="158"/>
      <c r="G75" s="158"/>
      <c r="H75" s="73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3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3">
        <f>Основное!$C$7*Основное!H40</f>
        <v>288528.82141273993</v>
      </c>
      <c r="I77" s="41"/>
    </row>
    <row r="78" spans="1:13" ht="15">
      <c r="A78" s="51">
        <v>5</v>
      </c>
      <c r="B78" s="67" t="s">
        <v>170</v>
      </c>
      <c r="C78" s="68"/>
      <c r="D78" s="68"/>
      <c r="E78" s="68"/>
      <c r="F78" s="68"/>
      <c r="G78" s="68"/>
      <c r="H78" s="73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3">
        <f>Основное!$C$7*Основное!H42</f>
        <v>138115.89187103818</v>
      </c>
      <c r="I79" s="41"/>
    </row>
    <row r="80" spans="1:13" ht="15">
      <c r="A80" s="51">
        <v>7</v>
      </c>
      <c r="B80" s="67" t="s">
        <v>132</v>
      </c>
      <c r="C80" s="68"/>
      <c r="D80" s="68"/>
      <c r="E80" s="68"/>
      <c r="F80" s="68"/>
      <c r="G80" s="68"/>
      <c r="H80" s="73">
        <f>Основное!$C$7*Основное!H43</f>
        <v>344387.2339993646</v>
      </c>
      <c r="I80" s="41"/>
    </row>
    <row r="81" spans="1:12" ht="15">
      <c r="A81" s="51">
        <v>8</v>
      </c>
      <c r="B81" s="67" t="s">
        <v>137</v>
      </c>
      <c r="C81" s="68"/>
      <c r="D81" s="68"/>
      <c r="E81" s="68"/>
      <c r="F81" s="68"/>
      <c r="G81" s="68"/>
      <c r="H81" s="73">
        <f>Основное!$C$7*Основное!H44</f>
        <v>71454.429809517998</v>
      </c>
      <c r="I81" s="41"/>
    </row>
    <row r="82" spans="1:12" ht="15">
      <c r="A82" s="51">
        <v>9</v>
      </c>
      <c r="B82" s="67" t="s">
        <v>129</v>
      </c>
      <c r="C82" s="68"/>
      <c r="D82" s="68"/>
      <c r="E82" s="68"/>
      <c r="F82" s="68"/>
      <c r="G82" s="68"/>
      <c r="H82" s="73">
        <f>Основное!$C$7*Основное!H45</f>
        <v>11966.871740029848</v>
      </c>
      <c r="I82" s="41"/>
    </row>
    <row r="83" spans="1:12" ht="15">
      <c r="A83" s="51">
        <v>10</v>
      </c>
      <c r="B83" s="67" t="s">
        <v>135</v>
      </c>
      <c r="C83" s="68"/>
      <c r="D83" s="68"/>
      <c r="E83" s="68"/>
      <c r="F83" s="68"/>
      <c r="G83" s="68"/>
      <c r="H83" s="73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3">
        <f>Основное!$C$7*Основное!H47</f>
        <v>784317.66253537021</v>
      </c>
      <c r="I84" s="41"/>
    </row>
    <row r="85" spans="1:12" ht="15">
      <c r="A85" s="51">
        <v>12</v>
      </c>
      <c r="B85" s="67" t="s">
        <v>128</v>
      </c>
      <c r="C85" s="68"/>
      <c r="D85" s="68"/>
      <c r="E85" s="68"/>
      <c r="F85" s="68"/>
      <c r="G85" s="68"/>
      <c r="H85" s="73">
        <f>Основное!$C$7*Основное!H48</f>
        <v>158448.95593545443</v>
      </c>
      <c r="I85" s="41"/>
    </row>
    <row r="86" spans="1:12" ht="15">
      <c r="A86" s="51">
        <v>13</v>
      </c>
      <c r="B86" s="67" t="s">
        <v>122</v>
      </c>
      <c r="C86" s="68"/>
      <c r="D86" s="68"/>
      <c r="E86" s="68"/>
      <c r="F86" s="68"/>
      <c r="G86" s="68"/>
      <c r="H86" s="73">
        <f>Основное!$C$7*Основное!H49</f>
        <v>24722.197924516451</v>
      </c>
      <c r="I86" s="41"/>
    </row>
    <row r="87" spans="1:12" ht="15">
      <c r="A87" s="51">
        <v>14</v>
      </c>
      <c r="B87" s="67" t="s">
        <v>371</v>
      </c>
      <c r="C87" s="68"/>
      <c r="D87" s="68"/>
      <c r="E87" s="68"/>
      <c r="F87" s="68"/>
      <c r="G87" s="68"/>
      <c r="H87" s="73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9" t="s">
        <v>243</v>
      </c>
      <c r="B89" s="219"/>
      <c r="C89" s="219"/>
      <c r="D89" s="219"/>
      <c r="E89" s="219"/>
      <c r="F89" s="219"/>
      <c r="G89" s="219"/>
      <c r="H89" s="219"/>
      <c r="I89" s="84"/>
      <c r="J89" s="84"/>
    </row>
    <row r="90" spans="1:12" s="44" customFormat="1">
      <c r="A90" s="21"/>
      <c r="B90" s="247"/>
      <c r="C90" s="247"/>
      <c r="D90" s="247"/>
      <c r="E90" s="247"/>
      <c r="F90" s="247"/>
      <c r="G90" s="247"/>
      <c r="H90" s="247"/>
      <c r="I90" s="53"/>
      <c r="J90" s="53"/>
    </row>
    <row r="91" spans="1:12" s="44" customFormat="1" ht="15.75">
      <c r="A91" s="210" t="s">
        <v>273</v>
      </c>
      <c r="B91" s="210"/>
      <c r="C91" s="210"/>
      <c r="D91" s="210"/>
      <c r="E91" s="210"/>
      <c r="F91" s="210"/>
      <c r="G91" s="21"/>
      <c r="I91" s="21"/>
      <c r="J91" s="21"/>
    </row>
    <row r="92" spans="1:12" s="44" customFormat="1">
      <c r="A92" s="21"/>
      <c r="B92" s="21"/>
      <c r="C92" s="21"/>
      <c r="D92" s="21"/>
      <c r="E92" s="262"/>
      <c r="F92" s="262"/>
      <c r="G92" s="262"/>
      <c r="H92" s="262"/>
      <c r="I92" s="53"/>
      <c r="J92" s="53"/>
    </row>
    <row r="93" spans="1:12" s="44" customFormat="1" ht="15">
      <c r="A93" s="52"/>
      <c r="B93" s="52"/>
      <c r="C93" s="52"/>
      <c r="D93" s="52"/>
      <c r="F93" s="45" t="s">
        <v>159</v>
      </c>
      <c r="G93" s="45"/>
      <c r="H93" s="53"/>
      <c r="I93" s="53"/>
      <c r="J93" s="53"/>
    </row>
    <row r="94" spans="1:12" s="44" customFormat="1" ht="34.5" customHeight="1">
      <c r="A94" s="95" t="s">
        <v>207</v>
      </c>
      <c r="B94" s="128" t="s">
        <v>228</v>
      </c>
      <c r="C94" s="92" t="s">
        <v>160</v>
      </c>
      <c r="D94" s="97" t="s">
        <v>161</v>
      </c>
      <c r="E94" s="147" t="s">
        <v>240</v>
      </c>
      <c r="F94" s="100" t="s">
        <v>208</v>
      </c>
      <c r="G94" s="98"/>
      <c r="H94" s="99"/>
      <c r="I94" s="54"/>
      <c r="J94" s="53"/>
      <c r="K94" s="53"/>
      <c r="L94" s="53"/>
    </row>
    <row r="95" spans="1:12" s="44" customFormat="1" ht="15">
      <c r="A95" s="96">
        <v>1247.4000000000001</v>
      </c>
      <c r="B95" s="96">
        <v>12960</v>
      </c>
      <c r="C95" s="101">
        <v>14172</v>
      </c>
      <c r="D95" s="102">
        <v>12000</v>
      </c>
      <c r="E95" s="102">
        <v>6000</v>
      </c>
      <c r="F95" s="102">
        <f>SUM(A95:E95)</f>
        <v>46379.4</v>
      </c>
      <c r="G95" s="93"/>
      <c r="H95" s="94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8" t="s">
        <v>372</v>
      </c>
      <c r="B97" s="248"/>
      <c r="C97" s="248"/>
      <c r="D97" s="248"/>
      <c r="E97" s="248"/>
      <c r="F97" s="248"/>
      <c r="G97" s="248"/>
      <c r="H97" s="248"/>
      <c r="I97" s="57"/>
      <c r="J97" s="57"/>
      <c r="K97" s="57"/>
      <c r="L97" s="57"/>
      <c r="M97" s="57"/>
    </row>
    <row r="98" spans="1:16" ht="60" customHeight="1">
      <c r="A98" s="246" t="s">
        <v>373</v>
      </c>
      <c r="B98" s="246"/>
      <c r="C98" s="246"/>
      <c r="D98" s="246"/>
      <c r="E98" s="246"/>
      <c r="F98" s="246"/>
      <c r="G98" s="246"/>
      <c r="H98" s="246"/>
      <c r="I98" s="76"/>
      <c r="J98" s="76"/>
      <c r="K98" s="76"/>
      <c r="L98" s="76"/>
      <c r="M98" s="76"/>
      <c r="N98" s="76"/>
      <c r="O98" s="76"/>
      <c r="P98" s="76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2" t="s">
        <v>70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59"/>
      <c r="L100" s="59"/>
      <c r="M100" s="59"/>
      <c r="N100" s="59"/>
      <c r="O100" s="59"/>
      <c r="P100" s="59"/>
    </row>
    <row r="101" spans="1:16" ht="15">
      <c r="A101" s="242" t="s">
        <v>140</v>
      </c>
      <c r="B101" s="242"/>
      <c r="C101" s="242"/>
      <c r="D101" s="242"/>
      <c r="E101" s="242"/>
      <c r="F101" s="242"/>
      <c r="G101" s="242"/>
      <c r="H101" s="242"/>
      <c r="I101" s="148"/>
      <c r="J101" s="148"/>
      <c r="K101" s="59"/>
      <c r="L101" s="59"/>
      <c r="M101" s="59"/>
      <c r="N101" s="59"/>
      <c r="O101" s="59"/>
      <c r="P101" s="59"/>
    </row>
    <row r="102" spans="1:16" ht="14.25">
      <c r="A102" s="243" t="s">
        <v>141</v>
      </c>
      <c r="B102" s="243"/>
      <c r="C102" s="243"/>
      <c r="D102" s="243"/>
      <c r="E102" s="243"/>
      <c r="F102" s="243"/>
      <c r="G102" s="243"/>
      <c r="H102" s="243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4" t="s">
        <v>194</v>
      </c>
      <c r="B103" s="244"/>
      <c r="C103" s="244"/>
      <c r="D103" s="244"/>
      <c r="E103" s="244"/>
      <c r="F103" s="244"/>
      <c r="G103" s="244"/>
      <c r="H103" s="244"/>
      <c r="I103" s="149"/>
      <c r="J103" s="149"/>
      <c r="K103" s="61"/>
      <c r="L103" s="61"/>
      <c r="M103" s="61"/>
      <c r="N103" s="61"/>
      <c r="O103" s="61"/>
      <c r="P103" s="61"/>
    </row>
    <row r="104" spans="1:16" ht="15">
      <c r="A104" s="236" t="s">
        <v>164</v>
      </c>
      <c r="B104" s="236"/>
      <c r="C104" s="236"/>
      <c r="D104" s="236"/>
      <c r="E104" s="236"/>
      <c r="F104" s="236"/>
      <c r="G104" s="236"/>
      <c r="H104" s="236"/>
      <c r="I104" s="150"/>
      <c r="J104" s="150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7" t="s">
        <v>182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178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276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240" t="s">
        <v>280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30" customHeight="1">
      <c r="A7" s="39" t="s">
        <v>245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244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148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186</v>
      </c>
      <c r="F11" s="39"/>
      <c r="G11" s="39" t="s">
        <v>277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187</v>
      </c>
      <c r="F12" s="39"/>
      <c r="G12" s="39" t="s">
        <v>223</v>
      </c>
      <c r="I12" s="39"/>
      <c r="J12" s="39"/>
    </row>
    <row r="13" spans="1:16" s="38" customFormat="1" ht="14.25">
      <c r="A13" s="39" t="s">
        <v>117</v>
      </c>
      <c r="B13" s="39"/>
      <c r="C13" s="39"/>
      <c r="D13" s="39"/>
      <c r="E13" s="39" t="s">
        <v>191</v>
      </c>
      <c r="F13" s="39"/>
      <c r="G13" s="39" t="s">
        <v>278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189</v>
      </c>
      <c r="F14" s="39"/>
      <c r="G14" s="39" t="s">
        <v>190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185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9" t="s">
        <v>297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283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149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144</v>
      </c>
      <c r="B21" s="193"/>
      <c r="C21" s="198" t="s">
        <v>200</v>
      </c>
      <c r="D21" s="192" t="s">
        <v>145</v>
      </c>
      <c r="E21" s="192" t="s">
        <v>246</v>
      </c>
      <c r="F21" s="256" t="s">
        <v>224</v>
      </c>
      <c r="G21" s="187" t="s">
        <v>146</v>
      </c>
      <c r="H21" s="221" t="s">
        <v>147</v>
      </c>
      <c r="I21" s="82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2"/>
    </row>
    <row r="23" spans="1:16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2"/>
    </row>
    <row r="24" spans="1:16" s="112" customFormat="1" ht="14.25">
      <c r="A24" s="190">
        <v>-176077.12115384001</v>
      </c>
      <c r="B24" s="191"/>
      <c r="C24" s="80">
        <v>77436.3</v>
      </c>
      <c r="D24" s="80">
        <v>77096.649999999994</v>
      </c>
      <c r="E24" s="80">
        <v>16056.2</v>
      </c>
      <c r="F24" s="81">
        <f>C24-D24</f>
        <v>339.65000000000873</v>
      </c>
      <c r="G24" s="81">
        <v>36778</v>
      </c>
      <c r="H24" s="110">
        <f>A24+D24+E24-G24-F24</f>
        <v>-120041.92115384003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216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9" t="s">
        <v>150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151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7" t="s">
        <v>154</v>
      </c>
      <c r="I32" s="226"/>
      <c r="J32" s="226"/>
    </row>
    <row r="33" spans="1:16" s="44" customFormat="1" ht="15.75">
      <c r="A33" s="202" t="s">
        <v>18</v>
      </c>
      <c r="B33" s="203"/>
      <c r="C33" s="205" t="s">
        <v>368</v>
      </c>
      <c r="D33" s="206"/>
      <c r="E33" s="206"/>
      <c r="F33" s="206"/>
      <c r="G33" s="207"/>
      <c r="H33" s="46" t="s">
        <v>155</v>
      </c>
    </row>
    <row r="34" spans="1:16" s="44" customFormat="1" ht="15" customHeight="1">
      <c r="A34" s="249" t="s">
        <v>179</v>
      </c>
      <c r="B34" s="249"/>
      <c r="C34" s="67" t="s">
        <v>202</v>
      </c>
      <c r="D34" s="68"/>
      <c r="E34" s="68"/>
      <c r="F34" s="68"/>
      <c r="G34" s="68"/>
      <c r="H34" s="114">
        <f>290+218</f>
        <v>508</v>
      </c>
    </row>
    <row r="35" spans="1:16" s="44" customFormat="1" ht="15" customHeight="1">
      <c r="A35" s="249"/>
      <c r="B35" s="249"/>
      <c r="C35" s="67" t="s">
        <v>331</v>
      </c>
      <c r="D35" s="68"/>
      <c r="E35" s="68"/>
      <c r="F35" s="68"/>
      <c r="G35" s="68"/>
      <c r="H35" s="114">
        <v>36270</v>
      </c>
    </row>
    <row r="36" spans="1:16" s="44" customFormat="1" ht="15" customHeight="1">
      <c r="A36" s="249"/>
      <c r="B36" s="249"/>
      <c r="C36" s="67"/>
      <c r="D36" s="68"/>
      <c r="E36" s="68"/>
      <c r="F36" s="68"/>
      <c r="G36" s="68"/>
      <c r="H36" s="115">
        <f>SUM(H34:H35)</f>
        <v>36778</v>
      </c>
    </row>
    <row r="37" spans="1:16" s="44" customFormat="1" ht="15">
      <c r="A37" s="249"/>
      <c r="B37" s="249"/>
      <c r="C37" s="202" t="s">
        <v>369</v>
      </c>
      <c r="D37" s="203"/>
      <c r="E37" s="203"/>
      <c r="F37" s="203"/>
      <c r="G37" s="204"/>
      <c r="H37" s="115"/>
    </row>
    <row r="38" spans="1:16" s="44" customFormat="1" ht="15">
      <c r="A38" s="249"/>
      <c r="B38" s="249"/>
      <c r="C38" s="67" t="s">
        <v>255</v>
      </c>
      <c r="D38" s="182"/>
      <c r="E38" s="182"/>
      <c r="F38" s="182"/>
      <c r="G38" s="182"/>
      <c r="H38" s="114">
        <v>1341</v>
      </c>
    </row>
    <row r="39" spans="1:16" s="44" customFormat="1" ht="14.25">
      <c r="A39" s="249"/>
      <c r="B39" s="249"/>
      <c r="C39" s="67" t="s">
        <v>345</v>
      </c>
      <c r="D39" s="68"/>
      <c r="E39" s="68"/>
      <c r="F39" s="68"/>
      <c r="G39" s="68"/>
      <c r="H39" s="114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9" t="s">
        <v>298</v>
      </c>
      <c r="B41" s="239"/>
      <c r="C41" s="239"/>
      <c r="D41" s="239"/>
      <c r="E41" s="239"/>
      <c r="F41" s="239"/>
      <c r="G41" s="239"/>
      <c r="H41" s="239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41" t="s">
        <v>379</v>
      </c>
      <c r="B43" s="241"/>
      <c r="C43" s="241"/>
      <c r="D43" s="241"/>
      <c r="E43" s="241"/>
      <c r="F43" s="241"/>
      <c r="G43" s="241"/>
      <c r="H43" s="241"/>
      <c r="I43" s="104"/>
      <c r="J43" s="104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1" t="s">
        <v>156</v>
      </c>
      <c r="J44" s="47"/>
      <c r="M44" s="47"/>
      <c r="N44" s="47"/>
      <c r="O44" s="47"/>
      <c r="P44" s="47"/>
    </row>
    <row r="45" spans="1:16" ht="15.75">
      <c r="A45" s="205" t="s">
        <v>18</v>
      </c>
      <c r="B45" s="207"/>
      <c r="C45" s="205" t="s">
        <v>368</v>
      </c>
      <c r="D45" s="206"/>
      <c r="E45" s="206"/>
      <c r="F45" s="206"/>
      <c r="G45" s="207"/>
      <c r="H45" s="46" t="s">
        <v>155</v>
      </c>
      <c r="I45" s="47"/>
      <c r="J45" s="47"/>
      <c r="K45" s="47"/>
      <c r="L45" s="47"/>
    </row>
    <row r="46" spans="1:16" ht="15" customHeight="1">
      <c r="A46" s="249" t="s">
        <v>179</v>
      </c>
      <c r="B46" s="249"/>
      <c r="C46" s="230" t="s">
        <v>205</v>
      </c>
      <c r="D46" s="231"/>
      <c r="E46" s="231"/>
      <c r="F46" s="231"/>
      <c r="G46" s="232"/>
      <c r="H46" s="88">
        <f>531+370+213+345+758+359</f>
        <v>2576</v>
      </c>
      <c r="I46" s="47"/>
      <c r="J46" s="47"/>
      <c r="K46" s="47"/>
      <c r="L46" s="47"/>
    </row>
    <row r="47" spans="1:16" ht="15" customHeight="1">
      <c r="A47" s="249"/>
      <c r="B47" s="249"/>
      <c r="C47" s="230" t="s">
        <v>320</v>
      </c>
      <c r="D47" s="231"/>
      <c r="E47" s="231"/>
      <c r="F47" s="231"/>
      <c r="G47" s="232"/>
      <c r="H47" s="88">
        <f>426+426</f>
        <v>852</v>
      </c>
      <c r="I47" s="47"/>
      <c r="J47" s="47"/>
      <c r="K47" s="47"/>
      <c r="L47" s="47"/>
    </row>
    <row r="48" spans="1:16" ht="15" customHeight="1">
      <c r="A48" s="249"/>
      <c r="B48" s="249"/>
      <c r="C48" s="67" t="s">
        <v>130</v>
      </c>
      <c r="D48" s="90"/>
      <c r="E48" s="90"/>
      <c r="F48" s="90"/>
      <c r="G48" s="91"/>
      <c r="H48" s="88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9"/>
      <c r="B49" s="249"/>
      <c r="C49" s="227" t="s">
        <v>157</v>
      </c>
      <c r="D49" s="228"/>
      <c r="E49" s="228"/>
      <c r="F49" s="228"/>
      <c r="G49" s="229"/>
      <c r="H49" s="73">
        <v>3764.78</v>
      </c>
      <c r="I49" s="36"/>
      <c r="J49" s="36"/>
    </row>
    <row r="50" spans="1:11" ht="15">
      <c r="A50" s="79"/>
      <c r="B50" s="79"/>
      <c r="C50" s="108"/>
      <c r="D50" s="108"/>
      <c r="E50" s="108"/>
      <c r="F50" s="108"/>
      <c r="G50" s="108"/>
      <c r="H50" s="36"/>
      <c r="I50" s="36"/>
      <c r="J50" s="36"/>
    </row>
    <row r="51" spans="1:11">
      <c r="A51" s="77" t="s">
        <v>97</v>
      </c>
      <c r="B51" s="77"/>
      <c r="C51" s="77"/>
      <c r="D51" s="77"/>
      <c r="E51" s="77"/>
      <c r="F51" s="77"/>
      <c r="G51" s="77"/>
      <c r="H51" s="77"/>
      <c r="I51" s="77"/>
      <c r="J51" s="77"/>
    </row>
    <row r="52" spans="1:11" ht="18" customHeight="1">
      <c r="A52" s="264" t="s">
        <v>17</v>
      </c>
      <c r="B52" s="264"/>
      <c r="C52" s="264"/>
      <c r="D52" s="264"/>
      <c r="E52" s="264"/>
      <c r="F52" s="264"/>
      <c r="G52" s="264"/>
      <c r="H52" s="264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8" t="s">
        <v>15</v>
      </c>
      <c r="B54" s="218"/>
      <c r="C54" s="218"/>
      <c r="D54" s="218"/>
      <c r="E54" s="218"/>
      <c r="F54" s="218"/>
      <c r="G54" s="218"/>
      <c r="H54" s="218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1" t="s">
        <v>162</v>
      </c>
      <c r="J55" s="14"/>
    </row>
    <row r="56" spans="1:11" ht="15.75">
      <c r="A56" s="208" t="s">
        <v>16</v>
      </c>
      <c r="B56" s="208"/>
      <c r="C56" s="208"/>
      <c r="D56" s="208"/>
      <c r="E56" s="208"/>
      <c r="F56" s="208"/>
      <c r="G56" s="209"/>
      <c r="H56" s="74">
        <f>SUM(H66:H77)+H58+H62</f>
        <v>772782.01361568552</v>
      </c>
      <c r="I56" s="72"/>
      <c r="J56" s="72"/>
    </row>
    <row r="57" spans="1:11" ht="15">
      <c r="A57" s="50" t="s">
        <v>4</v>
      </c>
      <c r="B57" s="199" t="s">
        <v>5</v>
      </c>
      <c r="C57" s="200"/>
      <c r="D57" s="200"/>
      <c r="E57" s="200"/>
      <c r="F57" s="200"/>
      <c r="G57" s="201"/>
      <c r="H57" s="75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7">
        <f>SUM(H59:H61)</f>
        <v>10790.651957090298</v>
      </c>
      <c r="I58" s="41"/>
      <c r="K58" s="129">
        <f>Основное!$C$8*Основное!K35</f>
        <v>9510.6519570902983</v>
      </c>
    </row>
    <row r="59" spans="1:11" ht="15">
      <c r="A59" s="51"/>
      <c r="B59" s="67" t="s">
        <v>203</v>
      </c>
      <c r="C59" s="68"/>
      <c r="D59" s="68"/>
      <c r="E59" s="68"/>
      <c r="F59" s="68"/>
      <c r="G59" s="68"/>
      <c r="H59" s="73">
        <f>223+85</f>
        <v>308</v>
      </c>
      <c r="I59" s="41"/>
    </row>
    <row r="60" spans="1:11" ht="15">
      <c r="A60" s="51"/>
      <c r="B60" s="67" t="s">
        <v>206</v>
      </c>
      <c r="C60" s="68"/>
      <c r="D60" s="68"/>
      <c r="E60" s="68"/>
      <c r="F60" s="68"/>
      <c r="G60" s="68"/>
      <c r="H60" s="73">
        <f>196+170+80+111+290+125</f>
        <v>972</v>
      </c>
      <c r="I60" s="41"/>
    </row>
    <row r="61" spans="1:11" ht="48.75" customHeight="1">
      <c r="A61" s="51"/>
      <c r="B61" s="222" t="s">
        <v>226</v>
      </c>
      <c r="C61" s="223"/>
      <c r="D61" s="223"/>
      <c r="E61" s="223"/>
      <c r="F61" s="223"/>
      <c r="G61" s="223"/>
      <c r="H61" s="73">
        <f>K58</f>
        <v>9510.6519570902983</v>
      </c>
      <c r="I61" s="41"/>
    </row>
    <row r="62" spans="1:11" ht="15.75">
      <c r="A62" s="51" t="s">
        <v>9</v>
      </c>
      <c r="B62" s="67" t="s">
        <v>136</v>
      </c>
      <c r="C62" s="68"/>
      <c r="D62" s="68"/>
      <c r="E62" s="68"/>
      <c r="F62" s="68"/>
      <c r="G62" s="68"/>
      <c r="H62" s="87">
        <f>SUM(H63:H65)</f>
        <v>11853.15727647502</v>
      </c>
      <c r="I62" s="41"/>
    </row>
    <row r="63" spans="1:11" ht="15">
      <c r="A63" s="51"/>
      <c r="B63" s="227" t="s">
        <v>271</v>
      </c>
      <c r="C63" s="228"/>
      <c r="D63" s="228"/>
      <c r="E63" s="228"/>
      <c r="F63" s="228"/>
      <c r="G63" s="228"/>
      <c r="H63" s="73">
        <f>Основное!$C$8*Основное!K36</f>
        <v>4539.5892437608045</v>
      </c>
      <c r="I63" s="41"/>
    </row>
    <row r="64" spans="1:11" ht="15">
      <c r="A64" s="51"/>
      <c r="B64" s="156" t="s">
        <v>353</v>
      </c>
      <c r="C64" s="90"/>
      <c r="D64" s="90"/>
      <c r="E64" s="90"/>
      <c r="F64" s="90"/>
      <c r="G64" s="90"/>
      <c r="H64" s="73">
        <f>Основное!$C$8*Основное!O36</f>
        <v>4358.0056740103728</v>
      </c>
      <c r="I64" s="41"/>
    </row>
    <row r="65" spans="1:10" ht="15">
      <c r="A65" s="51"/>
      <c r="B65" s="67" t="s">
        <v>272</v>
      </c>
      <c r="C65" s="158"/>
      <c r="D65" s="158"/>
      <c r="E65" s="158"/>
      <c r="F65" s="158"/>
      <c r="G65" s="158"/>
      <c r="H65" s="73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3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3">
        <f>Основное!$C$8*Основное!H40</f>
        <v>110234.82628884258</v>
      </c>
      <c r="I67" s="41"/>
    </row>
    <row r="68" spans="1:10" ht="15">
      <c r="A68" s="51">
        <v>5</v>
      </c>
      <c r="B68" s="67" t="s">
        <v>170</v>
      </c>
      <c r="C68" s="68"/>
      <c r="D68" s="68"/>
      <c r="E68" s="68"/>
      <c r="F68" s="68"/>
      <c r="G68" s="68"/>
      <c r="H68" s="73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3">
        <f>Основное!$C$8*Основное!H42</f>
        <v>52768.320591282863</v>
      </c>
      <c r="I69" s="41"/>
    </row>
    <row r="70" spans="1:10" ht="15">
      <c r="A70" s="51">
        <v>7</v>
      </c>
      <c r="B70" s="67" t="s">
        <v>132</v>
      </c>
      <c r="C70" s="68"/>
      <c r="D70" s="68"/>
      <c r="E70" s="68"/>
      <c r="F70" s="68"/>
      <c r="G70" s="68"/>
      <c r="H70" s="73">
        <f>Основное!$C$8*Основное!H43</f>
        <v>131575.99552839223</v>
      </c>
      <c r="I70" s="41"/>
    </row>
    <row r="71" spans="1:10" ht="15">
      <c r="A71" s="51">
        <v>8</v>
      </c>
      <c r="B71" s="67" t="s">
        <v>137</v>
      </c>
      <c r="C71" s="68"/>
      <c r="D71" s="68"/>
      <c r="E71" s="68"/>
      <c r="F71" s="68"/>
      <c r="G71" s="68"/>
      <c r="H71" s="73">
        <f>Основное!$C$8*Основное!H44</f>
        <v>27299.75681130591</v>
      </c>
      <c r="I71" s="41"/>
    </row>
    <row r="72" spans="1:10" ht="15">
      <c r="A72" s="51">
        <v>9</v>
      </c>
      <c r="B72" s="67" t="s">
        <v>129</v>
      </c>
      <c r="C72" s="68"/>
      <c r="D72" s="68"/>
      <c r="E72" s="68"/>
      <c r="F72" s="68"/>
      <c r="G72" s="68"/>
      <c r="H72" s="73">
        <f>Основное!$C$8*Основное!H45</f>
        <v>4572.0424775034353</v>
      </c>
      <c r="I72" s="41"/>
    </row>
    <row r="73" spans="1:10" ht="15">
      <c r="A73" s="51">
        <v>10</v>
      </c>
      <c r="B73" s="67" t="s">
        <v>135</v>
      </c>
      <c r="C73" s="68"/>
      <c r="D73" s="68"/>
      <c r="E73" s="68"/>
      <c r="F73" s="68"/>
      <c r="G73" s="68"/>
      <c r="H73" s="73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3">
        <f>Основное!$C$8*Основное!H47</f>
        <v>299655.05997467751</v>
      </c>
      <c r="I74" s="41"/>
    </row>
    <row r="75" spans="1:10" ht="15">
      <c r="A75" s="51">
        <v>12</v>
      </c>
      <c r="B75" s="67" t="s">
        <v>128</v>
      </c>
      <c r="C75" s="68"/>
      <c r="D75" s="68"/>
      <c r="E75" s="68"/>
      <c r="F75" s="68"/>
      <c r="G75" s="68"/>
      <c r="H75" s="73">
        <f>Основное!$C$8*Основное!H48</f>
        <v>60536.73614882087</v>
      </c>
      <c r="I75" s="41"/>
    </row>
    <row r="76" spans="1:10" ht="15">
      <c r="A76" s="51">
        <v>13</v>
      </c>
      <c r="B76" s="67" t="s">
        <v>122</v>
      </c>
      <c r="C76" s="68"/>
      <c r="D76" s="68"/>
      <c r="E76" s="68"/>
      <c r="F76" s="68"/>
      <c r="G76" s="68"/>
      <c r="H76" s="73">
        <f>Основное!$C$8*Основное!H49</f>
        <v>9445.3205067822164</v>
      </c>
      <c r="I76" s="41"/>
    </row>
    <row r="77" spans="1:10" ht="15">
      <c r="A77" s="51">
        <v>14</v>
      </c>
      <c r="B77" s="67" t="s">
        <v>371</v>
      </c>
      <c r="C77" s="68"/>
      <c r="D77" s="68"/>
      <c r="E77" s="68"/>
      <c r="F77" s="68"/>
      <c r="G77" s="68"/>
      <c r="H77" s="73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9" t="s">
        <v>247</v>
      </c>
      <c r="B79" s="219"/>
      <c r="C79" s="219"/>
      <c r="D79" s="219"/>
      <c r="E79" s="219"/>
      <c r="F79" s="219"/>
      <c r="G79" s="219"/>
      <c r="H79" s="219"/>
      <c r="I79" s="84"/>
      <c r="J79" s="84"/>
    </row>
    <row r="80" spans="1:10" s="44" customFormat="1">
      <c r="A80" s="21"/>
      <c r="B80" s="247"/>
      <c r="C80" s="247"/>
      <c r="D80" s="247"/>
      <c r="E80" s="247"/>
      <c r="F80" s="247"/>
      <c r="G80" s="247"/>
      <c r="H80" s="247"/>
      <c r="I80" s="53"/>
      <c r="J80" s="53"/>
    </row>
    <row r="81" spans="1:16" s="44" customFormat="1" ht="15.75">
      <c r="A81" s="210" t="s">
        <v>273</v>
      </c>
      <c r="B81" s="210"/>
      <c r="C81" s="210"/>
      <c r="D81" s="210"/>
      <c r="E81" s="210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30" t="s">
        <v>159</v>
      </c>
      <c r="F82" s="54"/>
      <c r="G82" s="45"/>
      <c r="H82" s="53"/>
      <c r="I82" s="53"/>
      <c r="J82" s="53"/>
    </row>
    <row r="83" spans="1:16" s="44" customFormat="1" ht="34.5" customHeight="1">
      <c r="A83" s="95" t="s">
        <v>207</v>
      </c>
      <c r="B83" s="128" t="s">
        <v>228</v>
      </c>
      <c r="C83" s="92" t="s">
        <v>160</v>
      </c>
      <c r="D83" s="97" t="s">
        <v>161</v>
      </c>
      <c r="E83" s="100" t="s">
        <v>208</v>
      </c>
      <c r="F83" s="98"/>
      <c r="G83" s="99"/>
      <c r="H83" s="54"/>
      <c r="I83" s="53"/>
      <c r="J83" s="53"/>
      <c r="K83" s="53"/>
    </row>
    <row r="84" spans="1:16" s="44" customFormat="1" ht="15">
      <c r="A84" s="96">
        <v>1012.2</v>
      </c>
      <c r="B84" s="96">
        <v>4320</v>
      </c>
      <c r="C84" s="101">
        <v>4724</v>
      </c>
      <c r="D84" s="102">
        <v>6000</v>
      </c>
      <c r="E84" s="102">
        <f>SUM(A84:D84)</f>
        <v>16056.2</v>
      </c>
      <c r="F84" s="93"/>
      <c r="G84" s="94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8" t="s">
        <v>372</v>
      </c>
      <c r="B86" s="248"/>
      <c r="C86" s="248"/>
      <c r="D86" s="248"/>
      <c r="E86" s="248"/>
      <c r="F86" s="248"/>
      <c r="G86" s="248"/>
      <c r="H86" s="248"/>
      <c r="I86" s="57"/>
      <c r="J86" s="57"/>
      <c r="K86" s="57"/>
      <c r="L86" s="57"/>
      <c r="M86" s="57"/>
    </row>
    <row r="87" spans="1:16" ht="59.25" customHeight="1">
      <c r="A87" s="246" t="s">
        <v>373</v>
      </c>
      <c r="B87" s="246"/>
      <c r="C87" s="246"/>
      <c r="D87" s="246"/>
      <c r="E87" s="246"/>
      <c r="F87" s="246"/>
      <c r="G87" s="246"/>
      <c r="H87" s="246"/>
      <c r="I87" s="76"/>
      <c r="J87" s="76"/>
      <c r="K87" s="76"/>
      <c r="L87" s="76"/>
      <c r="M87" s="76"/>
      <c r="N87" s="76"/>
      <c r="O87" s="76"/>
      <c r="P87" s="76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2" t="s">
        <v>70</v>
      </c>
      <c r="B89" s="242"/>
      <c r="C89" s="242"/>
      <c r="D89" s="242"/>
      <c r="E89" s="242"/>
      <c r="F89" s="242"/>
      <c r="G89" s="242"/>
      <c r="H89" s="242"/>
      <c r="I89" s="148"/>
      <c r="J89" s="148"/>
      <c r="K89" s="59"/>
      <c r="L89" s="59"/>
      <c r="M89" s="59"/>
      <c r="N89" s="59"/>
      <c r="O89" s="59"/>
      <c r="P89" s="59"/>
    </row>
    <row r="90" spans="1:16" ht="15">
      <c r="A90" s="242" t="s">
        <v>140</v>
      </c>
      <c r="B90" s="242"/>
      <c r="C90" s="242"/>
      <c r="D90" s="242"/>
      <c r="E90" s="242"/>
      <c r="F90" s="242"/>
      <c r="G90" s="242"/>
      <c r="H90" s="242"/>
      <c r="I90" s="148"/>
      <c r="J90" s="148"/>
      <c r="K90" s="59"/>
      <c r="L90" s="59"/>
      <c r="M90" s="59"/>
      <c r="N90" s="59"/>
      <c r="O90" s="59"/>
      <c r="P90" s="59"/>
    </row>
    <row r="91" spans="1:16" ht="14.25">
      <c r="A91" s="243" t="s">
        <v>141</v>
      </c>
      <c r="B91" s="243"/>
      <c r="C91" s="243"/>
      <c r="D91" s="243"/>
      <c r="E91" s="243"/>
      <c r="F91" s="243"/>
      <c r="G91" s="243"/>
      <c r="H91" s="243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4" t="s">
        <v>194</v>
      </c>
      <c r="B92" s="244"/>
      <c r="C92" s="244"/>
      <c r="D92" s="244"/>
      <c r="E92" s="244"/>
      <c r="F92" s="244"/>
      <c r="G92" s="244"/>
      <c r="H92" s="244"/>
      <c r="I92" s="149"/>
      <c r="J92" s="149"/>
      <c r="K92" s="61"/>
      <c r="L92" s="61"/>
      <c r="M92" s="61"/>
      <c r="N92" s="61"/>
      <c r="O92" s="61"/>
      <c r="P92" s="61"/>
    </row>
    <row r="93" spans="1:16" ht="15">
      <c r="A93" s="236" t="s">
        <v>164</v>
      </c>
      <c r="B93" s="236"/>
      <c r="C93" s="236"/>
      <c r="D93" s="236"/>
      <c r="E93" s="236"/>
      <c r="F93" s="236"/>
      <c r="G93" s="236"/>
      <c r="H93" s="236"/>
      <c r="I93" s="150"/>
      <c r="J93" s="150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18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18'!Область_печати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2018-03-28T10:04:43Z</dcterms:modified>
</cp:coreProperties>
</file>