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120" yWindow="60" windowWidth="15480" windowHeight="9210" tabRatio="950" firstSheet="2" activeTab="2"/>
  </bookViews>
  <sheets>
    <sheet name="Основное" sheetId="4" r:id="rId1"/>
    <sheet name="с ОПУ" sheetId="62" r:id="rId2"/>
    <sheet name="Набережная 10" sheetId="57" r:id="rId3"/>
    <sheet name="Набережная 11" sheetId="56" r:id="rId4"/>
    <sheet name="Набережная 12" sheetId="55" r:id="rId5"/>
    <sheet name="Набережная 13" sheetId="54" r:id="rId6"/>
    <sheet name="Набережная 17" sheetId="53" r:id="rId7"/>
    <sheet name="Лист1" sheetId="63" r:id="rId8"/>
    <sheet name="Лист2" sheetId="64" r:id="rId9"/>
  </sheets>
  <definedNames>
    <definedName name="_xlnm.Print_Area" localSheetId="2">'Набережная 10'!$A$1:$H$99</definedName>
    <definedName name="_xlnm.Print_Area" localSheetId="3">'Набережная 11'!$A$1:$H$102</definedName>
    <definedName name="_xlnm.Print_Area" localSheetId="4">'Набережная 12'!$A$1:$H$100</definedName>
    <definedName name="_xlnm.Print_Area" localSheetId="5">'Набережная 13'!$A$1:$H$101</definedName>
    <definedName name="_xlnm.Print_Area" localSheetId="6">'Набережная 17'!$A$1:$H$105</definedName>
    <definedName name="_xlnm.Print_Area" localSheetId="0">Основное!$A$1:$I$33</definedName>
  </definedNames>
  <calcPr calcId="124519"/>
</workbook>
</file>

<file path=xl/calcChain.xml><?xml version="1.0" encoding="utf-8"?>
<calcChain xmlns="http://schemas.openxmlformats.org/spreadsheetml/2006/main">
  <c r="H24" i="55"/>
  <c r="H24" i="53"/>
  <c r="H24" i="54"/>
  <c r="H24" i="57"/>
  <c r="G44" i="4"/>
  <c r="G35"/>
  <c r="G50"/>
  <c r="G47"/>
  <c r="G36"/>
  <c r="G46"/>
  <c r="D24" i="62"/>
  <c r="D26"/>
  <c r="G48" i="4"/>
  <c r="I33"/>
  <c r="H33"/>
  <c r="H36" i="53"/>
  <c r="H46"/>
  <c r="H34" i="54"/>
  <c r="H43" i="53"/>
  <c r="H44" i="55"/>
  <c r="H41" i="54"/>
  <c r="H37" i="56"/>
  <c r="H72"/>
  <c r="H41"/>
  <c r="H67" i="57"/>
  <c r="H49"/>
  <c r="H69" i="54"/>
  <c r="H50"/>
  <c r="H68" i="55"/>
  <c r="H51"/>
  <c r="H69" i="56"/>
  <c r="H52"/>
  <c r="H70"/>
  <c r="H51"/>
  <c r="H73" i="53"/>
  <c r="H53"/>
  <c r="H55"/>
  <c r="H72"/>
  <c r="H50" i="57"/>
  <c r="H54" i="53"/>
  <c r="H68" i="54"/>
  <c r="H51"/>
  <c r="H69" i="53"/>
  <c r="H34"/>
  <c r="H64" i="57"/>
  <c r="H34"/>
  <c r="H65" i="54"/>
  <c r="H66" i="56"/>
  <c r="H35"/>
  <c r="H65" i="55"/>
  <c r="H34"/>
  <c r="H40" i="56"/>
  <c r="H68"/>
  <c r="H36"/>
  <c r="H66" i="55"/>
  <c r="H36"/>
  <c r="H37" i="54"/>
  <c r="H66" i="57"/>
  <c r="H38"/>
  <c r="H71" i="53"/>
  <c r="H42" i="57"/>
  <c r="H43" i="55"/>
  <c r="H70" i="53"/>
  <c r="H37"/>
  <c r="H42" i="55"/>
  <c r="H35" i="53"/>
  <c r="H67" i="56"/>
  <c r="H34"/>
  <c r="H43" i="54"/>
  <c r="H67"/>
  <c r="H35"/>
  <c r="H40" i="53"/>
  <c r="H37" i="57"/>
  <c r="H65"/>
  <c r="H35"/>
  <c r="H41"/>
  <c r="H40" i="54"/>
  <c r="H44" i="56"/>
  <c r="H42" i="54"/>
  <c r="H44" i="53"/>
  <c r="H36" i="57"/>
  <c r="H69"/>
  <c r="H39"/>
  <c r="H66" i="54"/>
  <c r="H36"/>
  <c r="H67" i="55"/>
  <c r="H37"/>
  <c r="G45" i="4"/>
  <c r="G49"/>
  <c r="H56" i="53"/>
  <c r="H52" i="54"/>
  <c r="H52" i="55"/>
  <c r="H53" i="56"/>
  <c r="H24"/>
  <c r="H51" i="57"/>
  <c r="E96" i="53"/>
  <c r="F92" i="54"/>
  <c r="H38"/>
  <c r="H38" i="56"/>
  <c r="F93"/>
  <c r="I2" i="62"/>
  <c r="C12"/>
  <c r="D20"/>
  <c r="K68" i="53"/>
  <c r="F24"/>
  <c r="K64" i="54"/>
  <c r="F24"/>
  <c r="K64" i="55"/>
  <c r="F91"/>
  <c r="F24"/>
  <c r="E90" i="57"/>
  <c r="K65" i="56"/>
  <c r="F24"/>
  <c r="K63" i="57"/>
  <c r="F24"/>
  <c r="C33" i="4"/>
  <c r="H47"/>
  <c r="H48"/>
  <c r="J17" i="62"/>
  <c r="J18"/>
  <c r="E45"/>
  <c r="E43"/>
  <c r="E41"/>
  <c r="D45"/>
  <c r="D43"/>
  <c r="D41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2"/>
  <c r="E44"/>
  <c r="E46"/>
  <c r="E47"/>
  <c r="E48"/>
  <c r="E49"/>
  <c r="E50"/>
  <c r="E20"/>
  <c r="D21"/>
  <c r="D22"/>
  <c r="D23"/>
  <c r="D25"/>
  <c r="D27"/>
  <c r="D28"/>
  <c r="D29"/>
  <c r="D30"/>
  <c r="D31"/>
  <c r="D32"/>
  <c r="D33"/>
  <c r="D34"/>
  <c r="D35"/>
  <c r="D36"/>
  <c r="D37"/>
  <c r="D38"/>
  <c r="D39"/>
  <c r="D40"/>
  <c r="D42"/>
  <c r="D44"/>
  <c r="D46"/>
  <c r="D47"/>
  <c r="D48"/>
  <c r="D49"/>
  <c r="D50"/>
  <c r="C51"/>
  <c r="H41" i="4"/>
  <c r="H37"/>
  <c r="H40"/>
  <c r="H44"/>
  <c r="H49"/>
  <c r="H39"/>
  <c r="H43"/>
  <c r="H38"/>
  <c r="H42"/>
  <c r="H45"/>
  <c r="H46"/>
  <c r="H50"/>
  <c r="H36"/>
  <c r="H76" i="57"/>
  <c r="H79" i="56"/>
  <c r="H77" i="55"/>
  <c r="H78" i="54"/>
  <c r="H82" i="53"/>
  <c r="H83" i="57"/>
  <c r="H86" i="56"/>
  <c r="H84" i="55"/>
  <c r="H85" i="54"/>
  <c r="H89" i="53"/>
  <c r="H82" i="57"/>
  <c r="H85" i="56"/>
  <c r="H83" i="55"/>
  <c r="H84" i="54"/>
  <c r="H88" i="53"/>
  <c r="H84" i="56"/>
  <c r="H83"/>
  <c r="H79" i="57"/>
  <c r="H82" i="56"/>
  <c r="H80" i="55"/>
  <c r="H81" i="54"/>
  <c r="H85" i="53"/>
  <c r="H78" i="57"/>
  <c r="H81" i="56"/>
  <c r="H79" i="55"/>
  <c r="H80" i="54"/>
  <c r="H84" i="53"/>
  <c r="H77" i="57"/>
  <c r="H80" i="56"/>
  <c r="H78" i="55"/>
  <c r="H79" i="54"/>
  <c r="H83" i="53"/>
  <c r="H75" i="57"/>
  <c r="H78" i="56"/>
  <c r="H76" i="55"/>
  <c r="H77" i="54"/>
  <c r="H81" i="53"/>
  <c r="H74" i="57"/>
  <c r="H77" i="56"/>
  <c r="H75" i="55"/>
  <c r="H76" i="54"/>
  <c r="H80" i="53"/>
  <c r="H71" i="57"/>
  <c r="H74" i="56"/>
  <c r="H72" i="55"/>
  <c r="H73" i="54"/>
  <c r="H77" i="53"/>
  <c r="H38" i="55"/>
  <c r="H38" i="53"/>
  <c r="G52" i="4"/>
  <c r="H35"/>
  <c r="H74" i="53"/>
  <c r="H68"/>
  <c r="H66" s="1"/>
  <c r="H70" i="54"/>
  <c r="H64"/>
  <c r="H62" s="1"/>
  <c r="H69" i="55"/>
  <c r="H64"/>
  <c r="H62" s="1"/>
  <c r="H71" i="56"/>
  <c r="H65"/>
  <c r="H63" s="1"/>
  <c r="H68" i="57"/>
  <c r="H63"/>
  <c r="H61" s="1"/>
  <c r="H52" i="4"/>
  <c r="H80" i="57"/>
  <c r="H81" i="55"/>
  <c r="H82" i="54"/>
  <c r="H86" i="53"/>
  <c r="H81" i="57"/>
  <c r="H82" i="55"/>
  <c r="H83" i="54"/>
  <c r="H87" i="53"/>
  <c r="H73" i="57"/>
  <c r="H76" i="56"/>
  <c r="H74" i="55"/>
  <c r="H75" i="54"/>
  <c r="H79" i="53"/>
  <c r="H71" i="55"/>
  <c r="H72" i="54"/>
  <c r="H76" i="53"/>
  <c r="H72" i="57"/>
  <c r="H52"/>
  <c r="H75" i="56"/>
  <c r="H54"/>
  <c r="H73" i="55"/>
  <c r="H74" i="54"/>
  <c r="H78" i="53"/>
  <c r="H70" i="57"/>
  <c r="H73" i="56"/>
  <c r="H70" i="55"/>
  <c r="H71" i="54"/>
  <c r="H75" i="53"/>
</calcChain>
</file>

<file path=xl/comments1.xml><?xml version="1.0" encoding="utf-8"?>
<comments xmlns="http://schemas.openxmlformats.org/spreadsheetml/2006/main">
  <authors>
    <author>Smeta</author>
    <author>1</author>
  </authors>
  <commentList>
    <comment ref="J35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материалы(веники,канцтовары…)</t>
        </r>
      </text>
    </comment>
    <comment ref="J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финансайти</t>
        </r>
      </text>
    </comment>
    <comment ref="L36" authorId="0">
      <text>
        <r>
          <rPr>
            <b/>
            <sz val="10"/>
            <color indexed="81"/>
            <rFont val="Tahoma"/>
            <family val="2"/>
            <charset val="204"/>
          </rPr>
          <t>догодаев</t>
        </r>
      </text>
    </comment>
    <comment ref="N36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покос травы</t>
        </r>
      </text>
    </comment>
    <comment ref="F39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согласно приложения к договору</t>
        </r>
      </text>
    </comment>
    <comment ref="G43" authorId="0">
      <text>
        <r>
          <rPr>
            <sz val="10"/>
            <color indexed="81"/>
            <rFont val="Tahoma"/>
            <family val="2"/>
            <charset val="204"/>
          </rPr>
          <t>услуги гранит(справки еиркц, оплачено) или сч.62 кредит</t>
        </r>
      </text>
    </comment>
    <comment ref="G44" authorId="1">
      <text>
        <r>
          <rPr>
            <b/>
            <sz val="8"/>
            <color indexed="81"/>
            <rFont val="Tahoma"/>
            <family val="2"/>
            <charset val="204"/>
          </rPr>
          <t>1:</t>
        </r>
        <r>
          <rPr>
            <sz val="8"/>
            <color indexed="81"/>
            <rFont val="Tahoma"/>
            <family val="2"/>
            <charset val="204"/>
          </rPr>
          <t xml:space="preserve">
разница лифт оплачено(страх.лифта, тех.обслуж.) и гранит</t>
        </r>
      </text>
    </comment>
    <comment ref="F47" authorId="0">
      <text>
        <r>
          <rPr>
            <b/>
            <sz val="10"/>
            <color indexed="81"/>
            <rFont val="Tahoma"/>
            <family val="2"/>
            <charset val="204"/>
          </rPr>
          <t>Smeta:</t>
        </r>
        <r>
          <rPr>
            <sz val="10"/>
            <color indexed="81"/>
            <rFont val="Tahoma"/>
            <family val="2"/>
            <charset val="204"/>
          </rPr>
          <t xml:space="preserve">
начисл у ЛЛ- договора покос травы и ЗИЛ-домоф и дымоуд - мат помощь
</t>
        </r>
      </text>
    </comment>
  </commentList>
</comments>
</file>

<file path=xl/sharedStrings.xml><?xml version="1.0" encoding="utf-8"?>
<sst xmlns="http://schemas.openxmlformats.org/spreadsheetml/2006/main" count="767" uniqueCount="276">
  <si>
    <t>Ремонт кровли материал</t>
  </si>
  <si>
    <t>Смена светильников, проводов,стартера</t>
  </si>
  <si>
    <t>Замена доводчика,</t>
  </si>
  <si>
    <t>Утепление стеновой панели ОСКОЛМОНТАЖСТРОЙ</t>
  </si>
  <si>
    <t>Замена автоматических выключателей, светильников, провод, патрон</t>
  </si>
  <si>
    <t>Установка скамейки, изгороди, урны, мусорного клапана</t>
  </si>
  <si>
    <t>Установка изгороди</t>
  </si>
  <si>
    <t>Установка мусорного клапана</t>
  </si>
  <si>
    <t>Работы общестроительные (замки, метал. ограждения)</t>
  </si>
  <si>
    <t>содержание(замки, метал. ограждения)</t>
  </si>
  <si>
    <t>общестроительные (замки)</t>
  </si>
  <si>
    <t>Содержание домофонового оборудования</t>
  </si>
  <si>
    <t>содержание(лампы, домофон оборуд-ия)</t>
  </si>
  <si>
    <t>Замена электрооборудования (эл.лампы, замки)</t>
  </si>
  <si>
    <t>содержание(лампы, замки, оборуд. домофона)</t>
  </si>
  <si>
    <t>Бестраншейная замена трубопровода ИП Мезенцев</t>
  </si>
  <si>
    <t>Утепление стеновой панели</t>
  </si>
  <si>
    <t xml:space="preserve">Работы по договорам </t>
  </si>
  <si>
    <t>Ремонт подъезда №3</t>
  </si>
  <si>
    <t xml:space="preserve">Услуги по вывозу и утилизации ТБО (с 01.01.2018г. по 30.06.2018г.) </t>
  </si>
  <si>
    <t>Автотранспорт (ЗИЛ - перевозка крупногабаритных материалов от МКД) с 01.01.2018г. По 30.06.2018г.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</si>
  <si>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</si>
  <si>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</si>
  <si>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</si>
  <si>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</si>
  <si>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</si>
  <si>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</si>
  <si>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</si>
  <si>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</si>
  <si>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</si>
  <si>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</si>
  <si>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</si>
  <si>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</si>
  <si>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</si>
  <si>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Транспортные услуги по доставке материалов</t>
  </si>
  <si>
    <t>трансп услуги (Догадаев,  Шарапов)</t>
  </si>
  <si>
    <t>16</t>
  </si>
  <si>
    <t>Дератизация,дезинфекция мест общего пользования</t>
  </si>
  <si>
    <t>Договора (включила покос травы)</t>
  </si>
  <si>
    <r>
      <t>ремонт общестроительный</t>
    </r>
    <r>
      <rPr>
        <sz val="10"/>
        <color indexed="8"/>
        <rFont val="Arial"/>
        <family val="2"/>
        <charset val="204"/>
      </rPr>
      <t xml:space="preserve"> </t>
    </r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</si>
  <si>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</si>
  <si>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</si>
  <si>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</si>
  <si>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</si>
  <si>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№594 от 31.05.2018г.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17,26 руб/м², </t>
    </r>
  </si>
  <si>
    <r>
      <t xml:space="preserve">Тариф на жилищные услуги (содержание и текущий ремонт общего имущества), утвержденный постановлением Администрации г. Курчатова №594 от 31.05.2018 г.  и общим собранием собственников: </t>
    </r>
    <r>
      <rPr>
        <b/>
        <sz val="11"/>
        <color indexed="8"/>
        <rFont val="Arial"/>
        <family val="2"/>
        <charset val="204"/>
      </rPr>
      <t xml:space="preserve">15,84 руб/м², </t>
    </r>
  </si>
  <si>
    <t>Принят в управление - ноябрь 2008 г.</t>
  </si>
  <si>
    <t>Количество этажей - 9</t>
  </si>
  <si>
    <t>Количество подъездов - 2</t>
  </si>
  <si>
    <t>№ п/п</t>
  </si>
  <si>
    <t>Вид</t>
  </si>
  <si>
    <t>Сумма, руб</t>
  </si>
  <si>
    <t>1</t>
  </si>
  <si>
    <t>Материалы</t>
  </si>
  <si>
    <t>2</t>
  </si>
  <si>
    <t>Услуги АДС</t>
  </si>
  <si>
    <t>Услуги ЕИРКЦ</t>
  </si>
  <si>
    <t>Заработная плата</t>
  </si>
  <si>
    <t>ВСЕГО:</t>
  </si>
  <si>
    <t>Фактические расходы</t>
  </si>
  <si>
    <t xml:space="preserve">по содержанию и текущему ремонту общего имущества дома - Всего: 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</si>
  <si>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</si>
  <si>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Адрес</t>
  </si>
  <si>
    <t>Площадь дома, кв.м.</t>
  </si>
  <si>
    <t>Количество подъездов - 4</t>
  </si>
  <si>
    <t>Количество квартир - 144</t>
  </si>
  <si>
    <t>Количество подъездов - 3</t>
  </si>
  <si>
    <t>Нормативная численность обслуживающего персонала  - 2,7 чел</t>
  </si>
  <si>
    <t>Количество подъездов - 6</t>
  </si>
  <si>
    <t>Количество подъездов - 5</t>
  </si>
  <si>
    <t>Нормативная численность обслуживающего персонала  - 3,6 чел</t>
  </si>
  <si>
    <t>Количество квартир - 105</t>
  </si>
  <si>
    <t>Нормативная численность обслуживающего персонала  - 2,2 чел</t>
  </si>
  <si>
    <t>Статья</t>
  </si>
  <si>
    <t>ИТОГО:</t>
  </si>
  <si>
    <t>Успенка 23</t>
  </si>
  <si>
    <t>Набережная 1</t>
  </si>
  <si>
    <t>Набережная 2</t>
  </si>
  <si>
    <t>Набережная 3</t>
  </si>
  <si>
    <t>Набережная 5</t>
  </si>
  <si>
    <t>Набережная 7</t>
  </si>
  <si>
    <t>Набережная 9</t>
  </si>
  <si>
    <t>Набережная 10</t>
  </si>
  <si>
    <t>Набережная 11</t>
  </si>
  <si>
    <t>Набережная 12</t>
  </si>
  <si>
    <t>Набережная 13</t>
  </si>
  <si>
    <t>Набережная 17</t>
  </si>
  <si>
    <t>Садовая 2</t>
  </si>
  <si>
    <t>Садовая 4</t>
  </si>
  <si>
    <t>Садовая 6</t>
  </si>
  <si>
    <t>Садовая 8</t>
  </si>
  <si>
    <t>Садовая 12</t>
  </si>
  <si>
    <t>Садовая 16</t>
  </si>
  <si>
    <t>Садовая 18</t>
  </si>
  <si>
    <t>Садовая 19а</t>
  </si>
  <si>
    <t>Садовая 19б</t>
  </si>
  <si>
    <t>Садовая 19в</t>
  </si>
  <si>
    <t>Садовая 20</t>
  </si>
  <si>
    <t>Садовая 21</t>
  </si>
  <si>
    <t>Садовая 22</t>
  </si>
  <si>
    <t>Садовая 23</t>
  </si>
  <si>
    <t>Садовая 24</t>
  </si>
  <si>
    <t>Садовая 25</t>
  </si>
  <si>
    <t>Садовая 27</t>
  </si>
  <si>
    <t>Садовая 29</t>
  </si>
  <si>
    <t>Садовая 31</t>
  </si>
  <si>
    <t>Площадь подъезда - 880 кв. м</t>
  </si>
  <si>
    <t>Площадь подвала - 977,1 кв. м</t>
  </si>
  <si>
    <t>Площадь кровли - 1090,4 кв. м</t>
  </si>
  <si>
    <t>Количество квартир - 210</t>
  </si>
  <si>
    <t>Площадь подвала - 1537,8 кв. м</t>
  </si>
  <si>
    <t>Площадь кровли - 1635,7 кв. м</t>
  </si>
  <si>
    <t>Площадь газона - 2050 кв. м</t>
  </si>
  <si>
    <t xml:space="preserve">Адрес дома - Набережная 10 </t>
  </si>
  <si>
    <t>Количество квартир - 70</t>
  </si>
  <si>
    <t>Площадь подъезда - 749,9 кв. м</t>
  </si>
  <si>
    <t>Площадь кровли - 640,4 кв. м</t>
  </si>
  <si>
    <t>Площадь газона - 223 кв. м</t>
  </si>
  <si>
    <t>Нормативная численность обслуживающего персонала  - 1,7 чел</t>
  </si>
  <si>
    <t xml:space="preserve">Адрес дома - Набережная 11 </t>
  </si>
  <si>
    <t>Площадь газона - 270 кв. м</t>
  </si>
  <si>
    <t xml:space="preserve">Адрес дома - Набережная 12 </t>
  </si>
  <si>
    <t>Площадь подъезда - 849,7 кв. м</t>
  </si>
  <si>
    <t>Площадь подвала - 768,9 кв. м</t>
  </si>
  <si>
    <t>Площадь кровли - 817,8 кв. м</t>
  </si>
  <si>
    <t>Площадь газона - 422 кв. м</t>
  </si>
  <si>
    <t xml:space="preserve">Адрес дома - Набережная 13 </t>
  </si>
  <si>
    <t>Площадь подъезда - 1726,2 кв. м</t>
  </si>
  <si>
    <t>Нормативная численность обслуживающего персонала  - 4,4,чел</t>
  </si>
  <si>
    <t xml:space="preserve">Адрес дома - Набережная 17 </t>
  </si>
  <si>
    <t>Количество квартир - 179</t>
  </si>
  <si>
    <t>Площадь подъезда - 1192,3 кв. м</t>
  </si>
  <si>
    <t>Площадь подвала - 1186,9 кв. м</t>
  </si>
  <si>
    <t>Площадь кровли - 1363,1 кв. м</t>
  </si>
  <si>
    <t>Площадь газона - 471 кв. м</t>
  </si>
  <si>
    <t>Площадь подвала - 578,2 кв. м</t>
  </si>
  <si>
    <t>Всего расходов</t>
  </si>
  <si>
    <t>Ст-ть 1м2,руб</t>
  </si>
  <si>
    <t>площадь</t>
  </si>
  <si>
    <t>Начисление на зарплату</t>
  </si>
  <si>
    <t>Налоги</t>
  </si>
  <si>
    <t>Услуги по ТБО</t>
  </si>
  <si>
    <t>Аренда произв.помещений</t>
  </si>
  <si>
    <t>Автотранспорт(ЗИЛ)</t>
  </si>
  <si>
    <t xml:space="preserve">Дератизация,дезинфекция </t>
  </si>
  <si>
    <t>Начисления на з/пл (20,2%)</t>
  </si>
  <si>
    <t>Аренда производственных помещений под ЖЭУ</t>
  </si>
  <si>
    <t>Дератизация, дезинфекция мест общего пользования</t>
  </si>
  <si>
    <t>Техническое обслуживание и ремонт лифтов ООО "Гранит"</t>
  </si>
  <si>
    <t>ЛИФТЫ</t>
  </si>
  <si>
    <t>ОПУ</t>
  </si>
  <si>
    <t>Охрана труда</t>
  </si>
  <si>
    <t>Работы по договорам на оказание услуг по ремонту общего имущества</t>
  </si>
  <si>
    <t>Тех. освидетельствование , страхование лифтов</t>
  </si>
  <si>
    <t>з/п дымоудаление</t>
  </si>
  <si>
    <t>начисление</t>
  </si>
  <si>
    <t>по вопросам обращаться по телефону ЖЭУ 4-05-76, 4-24-93</t>
  </si>
  <si>
    <t xml:space="preserve">эл. почта:blgorod@rambler.ru </t>
  </si>
  <si>
    <t>Остаток денежных средств на лицевом счете дома по статье текущий ремонт на начало периода, руб.</t>
  </si>
  <si>
    <t>Собрано по статье текущий ремонт, руб.</t>
  </si>
  <si>
    <t>Израсходовано по статье текущий ремонт, руб.</t>
  </si>
  <si>
    <t>Остаток денежных средств на лицевом счете дома по статье текущий ремонт на конец периода, руб.</t>
  </si>
  <si>
    <t>в т.ч:</t>
  </si>
  <si>
    <t>Таблица №1</t>
  </si>
  <si>
    <t xml:space="preserve">Все работы по текущему ремонту утверждены и подписаны советом МКД, </t>
  </si>
  <si>
    <t>Состав работ по текущему ремонту</t>
  </si>
  <si>
    <t>Таблица №2</t>
  </si>
  <si>
    <t>Сумма,руб.</t>
  </si>
  <si>
    <t>Таблица №3</t>
  </si>
  <si>
    <t>Промывка системы отопления и водоотведение</t>
  </si>
  <si>
    <t>Таблица №5</t>
  </si>
  <si>
    <t xml:space="preserve">ИП Шишкин </t>
  </si>
  <si>
    <t xml:space="preserve">Ростелеком </t>
  </si>
  <si>
    <t>Таблица №4</t>
  </si>
  <si>
    <t>полномочия которого установлены решением общего собрания собственников МКД.</t>
  </si>
  <si>
    <t>Ремонт кровли</t>
  </si>
  <si>
    <t xml:space="preserve"> об исполнении договора управления жилым домом №10 по ул.Набережная.</t>
  </si>
  <si>
    <t>ул.Набережная д.10</t>
  </si>
  <si>
    <t xml:space="preserve"> об исполнении договора управления жилым домом №11 по ул.Набережная.</t>
  </si>
  <si>
    <t>ул.Набережная д.11</t>
  </si>
  <si>
    <t xml:space="preserve"> об исполнении договора управления жилым домом №12 по ул.Набережная.</t>
  </si>
  <si>
    <t>ул.Набережная д.12</t>
  </si>
  <si>
    <t xml:space="preserve"> - содержание </t>
  </si>
  <si>
    <t xml:space="preserve"> - текущий ремонт </t>
  </si>
  <si>
    <t xml:space="preserve"> - содержание лифтов </t>
  </si>
  <si>
    <t>2,91 руб/м²</t>
  </si>
  <si>
    <t xml:space="preserve"> об исполнении договора управления жилым домом №13 по ул.Набережная.</t>
  </si>
  <si>
    <t>ул.Набережная д.13</t>
  </si>
  <si>
    <t xml:space="preserve"> об исполнении договора управления жилым домом №17 по ул.Набережная.</t>
  </si>
  <si>
    <t>ул.Набережная д.17</t>
  </si>
  <si>
    <t>Начислено по статье текущий ремонт, руб.</t>
  </si>
  <si>
    <t>ремонт электрооборудования</t>
  </si>
  <si>
    <t>Замена электрооборудования (эл.лампы)</t>
  </si>
  <si>
    <t>содержание(лампы)</t>
  </si>
  <si>
    <t>ООО "Империал"</t>
  </si>
  <si>
    <t>Итого</t>
  </si>
  <si>
    <t>ремонт сантехнический</t>
  </si>
  <si>
    <t xml:space="preserve">а так же за счет программы энергосбережение  (Таблица №2). </t>
  </si>
  <si>
    <t>1,55 руб/м²</t>
  </si>
  <si>
    <t>Долг населения,руб.</t>
  </si>
  <si>
    <t>ООО "Лифтборт"</t>
  </si>
  <si>
    <t>Вымпел-Коммуникации</t>
  </si>
  <si>
    <t>Общая площадь квартир -4183,50 кв.м.</t>
  </si>
  <si>
    <t>Общая площадь дома - 5538,30 кв. м</t>
  </si>
  <si>
    <t>Дополнительные доходы (реклама в лифте,размещение оборудования сотовой связи),руб.</t>
  </si>
  <si>
    <t>Доходы полученные от размещения рекламы и предоставления места под аренду в многоквартирном доме №10 по ул.Набережная представлены в таблице №5</t>
  </si>
  <si>
    <t>Общая площадь дома -9015,50 кв. м</t>
  </si>
  <si>
    <t>Доходы полученные от размещения рекламы и предоставления места под аренду в многоквартирном доме №11 по ул.Набережная представлены в таблице №5</t>
  </si>
  <si>
    <t>Замена светильников</t>
  </si>
  <si>
    <t>Смена вентилей,сгонов у труб-дов,полиэт.канал.труб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</si>
  <si>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</si>
  <si>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№13 по ул.Набережная представлены в таблице №5</t>
  </si>
  <si>
    <t>Доходы полученные от размещения рекламы и предоставления места под аренду в многоквартирном доме №17 по ул.Набережная представлены в таблице №5</t>
  </si>
  <si>
    <t>Общая площадь квартир -5445,19 кв.м.</t>
  </si>
  <si>
    <t>Общая площадь дома - 7023,70 кв. м</t>
  </si>
  <si>
    <t>Общая площадь квартир -10802,70 кв.м.</t>
  </si>
  <si>
    <t>Общая площадь дома - 13961,70 кв. м</t>
  </si>
  <si>
    <t>Общая площадь квартир -9239,51кв.м.</t>
  </si>
  <si>
    <t>Общая площадь дома - 11833,30 кв. м</t>
  </si>
  <si>
    <t>Средства за аренду</t>
  </si>
  <si>
    <t>Прочие</t>
  </si>
  <si>
    <t>0,66 руб/м²</t>
  </si>
  <si>
    <t>Общая площадь квартир -7333,40 кв.м.</t>
  </si>
  <si>
    <t xml:space="preserve">ремонт общестроительный </t>
  </si>
  <si>
    <t>Работы общестроительные (замки)</t>
  </si>
  <si>
    <t>Окраска мусорных контейнеров,скамеек</t>
  </si>
  <si>
    <t>Замена оборудования домофона</t>
  </si>
  <si>
    <t>Ремонт межпанельных швов</t>
  </si>
  <si>
    <t>ремонт общестроительный</t>
  </si>
  <si>
    <t>Замена доводчика</t>
  </si>
  <si>
    <t>Замена автоматических выключателей,кабель</t>
  </si>
  <si>
    <t>Замена автоматических выключателей,светильников,кабель,стартер</t>
  </si>
  <si>
    <t>Замена светильников, автоматических выключателей,провода</t>
  </si>
  <si>
    <t>Замена светильников,кронштейна,трансформатора,прожектор</t>
  </si>
  <si>
    <t>Замена автоматических выключателей,светильников,патрон,провод</t>
  </si>
  <si>
    <t>Замена электрооборудования (лампы)</t>
  </si>
  <si>
    <t>Установка парковой скамейки</t>
  </si>
  <si>
    <t>Перечень выполненных работ</t>
  </si>
  <si>
    <t>Перечень выполненных работ по программе энергосбержения</t>
  </si>
  <si>
    <t>Работы по ремонту инженерного оборудования и других видов по содержанию общего имущества многоквартирного дома</t>
  </si>
  <si>
    <t>Работы по ремонту инженерного оборудования и других видов общего по содержанию имущества многоквартирного дома</t>
  </si>
  <si>
    <t xml:space="preserve"> - вывоз ТБО до 01.07.2018г.</t>
  </si>
  <si>
    <t xml:space="preserve"> - утилизация ТБО до 01.07.2018г.</t>
  </si>
  <si>
    <t>Отчет ООО "Аргумент"</t>
  </si>
  <si>
    <t xml:space="preserve">за период: 2018 г. </t>
  </si>
  <si>
    <t>1,60 руб/м²</t>
  </si>
  <si>
    <t>10,54 руб/м²</t>
  </si>
  <si>
    <t>Движение денежных средств по статье текущий ремонт за 2018г.</t>
  </si>
  <si>
    <t>Долг населения,руб. справочно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</si>
  <si>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</si>
  <si>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Управляющая организация ООО "Аргумент"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</si>
  <si>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</si>
  <si>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 xml:space="preserve"> - вывоз ТБО до 01.07.2018г</t>
  </si>
  <si>
    <t xml:space="preserve"> - утилизация ТБО до 01.07.2018г </t>
  </si>
  <si>
    <t>В 2018 году были произведены следующие виды работ по текущему ремонту</t>
  </si>
  <si>
    <t xml:space="preserve">В 2018 году были произведены следующие виды работ по текущему ремонту </t>
  </si>
  <si>
    <t xml:space="preserve">за период: 2018г. </t>
  </si>
  <si>
    <t>1,60руб/м²</t>
  </si>
  <si>
    <t>В таблице №1 приведено движение денежных средств по статье текущий ремонт  по лицевому счету дома №10 по ул.Набережная за 2018г.</t>
  </si>
  <si>
    <t>В ходе плановых осмотров, а также на основании обращений собственников помещений жилого дома №10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</si>
  <si>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№11 по ул.Набережная за 2018г.</t>
  </si>
  <si>
    <t>В ходе плановых осмотров, а также на основании обращений собственников помещений жилого дома №11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</si>
  <si>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кровли ООО "Теплострой+"</t>
  </si>
  <si>
    <t>Установка металлической двери</t>
  </si>
  <si>
    <t>9,31 руб/м²</t>
  </si>
  <si>
    <t>1,41руб/м²</t>
  </si>
  <si>
    <t>В таблице №1 приведено движение денежных средств по статье текущий ремонт  по лицевому счету дома №12 по ул.Набережная за 2018г.</t>
  </si>
  <si>
    <t>Ремонт подъеза №1,3</t>
  </si>
  <si>
    <t>Ремонт отмостки ИП Дыба</t>
  </si>
  <si>
    <t>В ходе плановых осмотров, а также на основании обращений собственников помещений жилого дома №12 по ул.Набережная в 2018году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</si>
  <si>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№13 по ул.Набережная за 2018г.</t>
  </si>
  <si>
    <t>В ходе плановых осмотров, а также на основании обращений собственников помещений жилого дома №13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</si>
  <si>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В таблице №1 приведено движение денежных средств по статье текущий ремонт  по лицевому счету дома №17 по ул.Набережная за 2018г.</t>
  </si>
  <si>
    <t>В ходе плановых осмотров, а также на основании обращений собственников помещений жилого дома №17 по ул.Набережная в 2018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</si>
  <si>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Ремонт подъезда материал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</si>
  <si>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 электрогазосварщик, кровельщик, контролер по учету эл/эн, АУП)</t>
  </si>
</sst>
</file>

<file path=xl/styles.xml><?xml version="1.0" encoding="utf-8"?>
<styleSheet xmlns="http://schemas.openxmlformats.org/spreadsheetml/2006/main">
  <numFmts count="1">
    <numFmt numFmtId="164" formatCode="0.0"/>
  </numFmts>
  <fonts count="55">
    <font>
      <sz val="10"/>
      <name val="Arial Cyr"/>
      <charset val="204"/>
    </font>
    <font>
      <sz val="10"/>
      <name val="Arial Cyr"/>
      <charset val="204"/>
    </font>
    <font>
      <sz val="8"/>
      <name val="Arial"/>
      <family val="2"/>
      <charset val="204"/>
    </font>
    <font>
      <i/>
      <sz val="10"/>
      <name val="Arial"/>
      <family val="2"/>
      <charset val="204"/>
    </font>
    <font>
      <sz val="6"/>
      <name val="Arial"/>
      <family val="2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0"/>
      <name val="Arial Narrow"/>
      <family val="2"/>
      <charset val="204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b/>
      <u/>
      <sz val="8"/>
      <name val="Arial Cyr"/>
      <charset val="204"/>
    </font>
    <font>
      <u/>
      <sz val="11"/>
      <color indexed="12"/>
      <name val="Arial Cyr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0"/>
      <color indexed="81"/>
      <name val="Tahoma"/>
      <family val="2"/>
      <charset val="204"/>
    </font>
    <font>
      <b/>
      <sz val="10"/>
      <color indexed="81"/>
      <name val="Tahoma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sz val="12"/>
      <color indexed="10"/>
      <name val="Times New Roman"/>
      <family val="1"/>
      <charset val="204"/>
    </font>
    <font>
      <sz val="10"/>
      <color indexed="10"/>
      <name val="Arial Cyr"/>
      <charset val="204"/>
    </font>
    <font>
      <b/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color indexed="8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sz val="10"/>
      <color indexed="8"/>
      <name val="Arial Cyr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sz val="14"/>
      <color indexed="8"/>
      <name val="Arial"/>
      <family val="2"/>
      <charset val="204"/>
    </font>
    <font>
      <b/>
      <sz val="12"/>
      <color indexed="8"/>
      <name val="Arial Cyr"/>
      <charset val="204"/>
    </font>
    <font>
      <b/>
      <sz val="10"/>
      <color indexed="8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color indexed="8"/>
      <name val="Arial Cyr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2" fillId="0" borderId="0">
      <alignment horizontal="left"/>
    </xf>
  </cellStyleXfs>
  <cellXfs count="231">
    <xf numFmtId="0" fontId="0" fillId="0" borderId="0" xfId="0"/>
    <xf numFmtId="0" fontId="0" fillId="0" borderId="1" xfId="0" applyBorder="1" applyAlignment="1">
      <alignment wrapText="1"/>
    </xf>
    <xf numFmtId="0" fontId="0" fillId="0" borderId="1" xfId="0" applyBorder="1"/>
    <xf numFmtId="0" fontId="6" fillId="0" borderId="1" xfId="0" applyFont="1" applyBorder="1" applyAlignment="1">
      <alignment wrapText="1"/>
    </xf>
    <xf numFmtId="0" fontId="6" fillId="0" borderId="1" xfId="0" applyFont="1" applyBorder="1"/>
    <xf numFmtId="0" fontId="6" fillId="0" borderId="1" xfId="0" applyFont="1" applyFill="1" applyBorder="1"/>
    <xf numFmtId="0" fontId="6" fillId="0" borderId="1" xfId="0" applyFont="1" applyBorder="1" applyAlignment="1"/>
    <xf numFmtId="0" fontId="7" fillId="0" borderId="1" xfId="0" applyFont="1" applyBorder="1"/>
    <xf numFmtId="2" fontId="1" fillId="0" borderId="1" xfId="0" applyNumberFormat="1" applyFont="1" applyBorder="1" applyAlignment="1"/>
    <xf numFmtId="0" fontId="0" fillId="0" borderId="1" xfId="0" applyBorder="1" applyAlignment="1">
      <alignment horizontal="center"/>
    </xf>
    <xf numFmtId="1" fontId="0" fillId="0" borderId="1" xfId="0" applyNumberFormat="1" applyBorder="1"/>
    <xf numFmtId="1" fontId="1" fillId="0" borderId="1" xfId="0" applyNumberFormat="1" applyFont="1" applyBorder="1" applyAlignment="1"/>
    <xf numFmtId="164" fontId="0" fillId="0" borderId="0" xfId="0" applyNumberFormat="1"/>
    <xf numFmtId="1" fontId="0" fillId="0" borderId="0" xfId="0" applyNumberFormat="1"/>
    <xf numFmtId="2" fontId="6" fillId="0" borderId="1" xfId="0" applyNumberFormat="1" applyFont="1" applyBorder="1" applyAlignment="1">
      <alignment wrapText="1"/>
    </xf>
    <xf numFmtId="2" fontId="0" fillId="0" borderId="1" xfId="0" applyNumberFormat="1" applyBorder="1"/>
    <xf numFmtId="2" fontId="6" fillId="0" borderId="1" xfId="0" applyNumberFormat="1" applyFont="1" applyBorder="1"/>
    <xf numFmtId="2" fontId="0" fillId="0" borderId="0" xfId="0" applyNumberFormat="1"/>
    <xf numFmtId="0" fontId="4" fillId="0" borderId="0" xfId="2" applyFont="1" applyAlignment="1">
      <alignment wrapText="1"/>
    </xf>
    <xf numFmtId="0" fontId="0" fillId="0" borderId="0" xfId="0" applyBorder="1"/>
    <xf numFmtId="0" fontId="3" fillId="0" borderId="0" xfId="2" applyFont="1" applyAlignment="1"/>
    <xf numFmtId="0" fontId="6" fillId="0" borderId="0" xfId="0" applyFont="1" applyBorder="1"/>
    <xf numFmtId="0" fontId="0" fillId="0" borderId="0" xfId="0" applyBorder="1" applyAlignment="1">
      <alignment wrapText="1"/>
    </xf>
    <xf numFmtId="0" fontId="15" fillId="0" borderId="1" xfId="0" applyFont="1" applyBorder="1"/>
    <xf numFmtId="0" fontId="15" fillId="0" borderId="1" xfId="0" applyFont="1" applyBorder="1" applyAlignment="1">
      <alignment wrapText="1"/>
    </xf>
    <xf numFmtId="0" fontId="15" fillId="0" borderId="1" xfId="0" applyFont="1" applyBorder="1" applyAlignment="1"/>
    <xf numFmtId="0" fontId="14" fillId="0" borderId="0" xfId="0" applyFont="1"/>
    <xf numFmtId="0" fontId="14" fillId="0" borderId="1" xfId="0" applyFont="1" applyBorder="1" applyAlignment="1">
      <alignment horizontal="center"/>
    </xf>
    <xf numFmtId="0" fontId="14" fillId="0" borderId="1" xfId="0" applyFont="1" applyBorder="1" applyAlignment="1">
      <alignment wrapText="1"/>
    </xf>
    <xf numFmtId="1" fontId="14" fillId="0" borderId="1" xfId="0" applyNumberFormat="1" applyFont="1" applyBorder="1"/>
    <xf numFmtId="2" fontId="14" fillId="0" borderId="1" xfId="0" applyNumberFormat="1" applyFont="1" applyBorder="1" applyAlignment="1"/>
    <xf numFmtId="1" fontId="14" fillId="0" borderId="1" xfId="0" applyNumberFormat="1" applyFont="1" applyBorder="1" applyAlignment="1"/>
    <xf numFmtId="1" fontId="15" fillId="0" borderId="1" xfId="0" applyNumberFormat="1" applyFont="1" applyBorder="1"/>
    <xf numFmtId="2" fontId="15" fillId="0" borderId="1" xfId="0" applyNumberFormat="1" applyFont="1" applyBorder="1" applyAlignment="1"/>
    <xf numFmtId="0" fontId="14" fillId="0" borderId="1" xfId="0" applyFont="1" applyBorder="1"/>
    <xf numFmtId="0" fontId="27" fillId="0" borderId="1" xfId="0" applyFont="1" applyBorder="1" applyAlignment="1">
      <alignment wrapText="1"/>
    </xf>
    <xf numFmtId="0" fontId="27" fillId="0" borderId="1" xfId="0" applyFont="1" applyFill="1" applyBorder="1" applyAlignment="1">
      <alignment wrapText="1"/>
    </xf>
    <xf numFmtId="1" fontId="14" fillId="0" borderId="2" xfId="0" applyNumberFormat="1" applyFont="1" applyBorder="1" applyAlignment="1"/>
    <xf numFmtId="2" fontId="14" fillId="0" borderId="1" xfId="0" applyNumberFormat="1" applyFont="1" applyBorder="1"/>
    <xf numFmtId="1" fontId="27" fillId="0" borderId="1" xfId="0" applyNumberFormat="1" applyFont="1" applyBorder="1"/>
    <xf numFmtId="1" fontId="27" fillId="0" borderId="1" xfId="0" applyNumberFormat="1" applyFont="1" applyFill="1" applyBorder="1"/>
    <xf numFmtId="0" fontId="0" fillId="0" borderId="0" xfId="0" applyAlignment="1">
      <alignment wrapText="1"/>
    </xf>
    <xf numFmtId="0" fontId="0" fillId="0" borderId="3" xfId="0" applyBorder="1" applyAlignment="1">
      <alignment horizontal="center"/>
    </xf>
    <xf numFmtId="0" fontId="6" fillId="0" borderId="4" xfId="0" applyFont="1" applyFill="1" applyBorder="1" applyAlignment="1">
      <alignment horizontal="center"/>
    </xf>
    <xf numFmtId="1" fontId="27" fillId="0" borderId="5" xfId="0" applyNumberFormat="1" applyFont="1" applyFill="1" applyBorder="1"/>
    <xf numFmtId="0" fontId="28" fillId="0" borderId="0" xfId="0" applyFont="1"/>
    <xf numFmtId="2" fontId="28" fillId="0" borderId="0" xfId="0" applyNumberFormat="1" applyFont="1"/>
    <xf numFmtId="0" fontId="27" fillId="0" borderId="1" xfId="0" applyFont="1" applyBorder="1" applyAlignment="1">
      <alignment horizontal="center"/>
    </xf>
    <xf numFmtId="2" fontId="27" fillId="0" borderId="1" xfId="0" applyNumberFormat="1" applyFont="1" applyBorder="1" applyAlignment="1"/>
    <xf numFmtId="1" fontId="27" fillId="0" borderId="2" xfId="0" applyNumberFormat="1" applyFont="1" applyBorder="1" applyAlignment="1"/>
    <xf numFmtId="0" fontId="27" fillId="0" borderId="1" xfId="0" applyFont="1" applyBorder="1"/>
    <xf numFmtId="2" fontId="27" fillId="0" borderId="1" xfId="0" applyNumberFormat="1" applyFont="1" applyBorder="1"/>
    <xf numFmtId="0" fontId="29" fillId="2" borderId="0" xfId="2" applyFont="1" applyFill="1" applyAlignment="1"/>
    <xf numFmtId="0" fontId="30" fillId="2" borderId="0" xfId="2" applyFont="1" applyFill="1" applyAlignment="1"/>
    <xf numFmtId="0" fontId="30" fillId="2" borderId="0" xfId="2" applyFont="1" applyFill="1" applyAlignment="1">
      <alignment wrapText="1"/>
    </xf>
    <xf numFmtId="0" fontId="30" fillId="2" borderId="0" xfId="2" applyFont="1" applyFill="1" applyAlignment="1">
      <alignment horizontal="left" wrapText="1"/>
    </xf>
    <xf numFmtId="0" fontId="31" fillId="2" borderId="0" xfId="0" applyFont="1" applyFill="1"/>
    <xf numFmtId="0" fontId="32" fillId="2" borderId="0" xfId="2" applyFont="1" applyFill="1" applyAlignment="1"/>
    <xf numFmtId="0" fontId="33" fillId="2" borderId="0" xfId="2" applyFont="1" applyFill="1" applyAlignment="1"/>
    <xf numFmtId="0" fontId="34" fillId="2" borderId="0" xfId="2" applyFont="1" applyFill="1">
      <alignment horizontal="left"/>
    </xf>
    <xf numFmtId="0" fontId="35" fillId="2" borderId="0" xfId="2" applyFont="1" applyFill="1">
      <alignment horizontal="left"/>
    </xf>
    <xf numFmtId="0" fontId="36" fillId="2" borderId="0" xfId="2" applyFont="1" applyFill="1">
      <alignment horizontal="left"/>
    </xf>
    <xf numFmtId="2" fontId="30" fillId="2" borderId="2" xfId="2" applyNumberFormat="1" applyFont="1" applyFill="1" applyBorder="1" applyAlignment="1">
      <alignment horizontal="center" vertical="center"/>
    </xf>
    <xf numFmtId="2" fontId="31" fillId="2" borderId="2" xfId="0" applyNumberFormat="1" applyFont="1" applyFill="1" applyBorder="1" applyAlignment="1">
      <alignment horizontal="center" vertical="center"/>
    </xf>
    <xf numFmtId="2" fontId="31" fillId="2" borderId="1" xfId="0" applyNumberFormat="1" applyFont="1" applyFill="1" applyBorder="1" applyAlignment="1">
      <alignment horizontal="center" vertical="center"/>
    </xf>
    <xf numFmtId="0" fontId="30" fillId="2" borderId="0" xfId="2" applyFont="1" applyFill="1">
      <alignment horizontal="left"/>
    </xf>
    <xf numFmtId="0" fontId="35" fillId="2" borderId="0" xfId="2" applyFont="1" applyFill="1" applyAlignment="1">
      <alignment horizontal="left"/>
    </xf>
    <xf numFmtId="0" fontId="37" fillId="2" borderId="0" xfId="2" applyFont="1" applyFill="1" applyBorder="1">
      <alignment horizontal="left"/>
    </xf>
    <xf numFmtId="0" fontId="38" fillId="2" borderId="0" xfId="2" applyFont="1" applyFill="1" applyBorder="1">
      <alignment horizontal="left"/>
    </xf>
    <xf numFmtId="0" fontId="36" fillId="2" borderId="0" xfId="2" applyFont="1" applyFill="1" applyBorder="1">
      <alignment horizontal="left"/>
    </xf>
    <xf numFmtId="0" fontId="34" fillId="2" borderId="1" xfId="2" applyFont="1" applyFill="1" applyBorder="1" applyAlignment="1">
      <alignment horizontal="center" vertical="center"/>
    </xf>
    <xf numFmtId="0" fontId="30" fillId="2" borderId="2" xfId="2" applyFont="1" applyFill="1" applyBorder="1" applyAlignment="1"/>
    <xf numFmtId="0" fontId="30" fillId="2" borderId="6" xfId="2" applyFont="1" applyFill="1" applyBorder="1" applyAlignment="1"/>
    <xf numFmtId="0" fontId="30" fillId="2" borderId="1" xfId="2" applyFont="1" applyFill="1" applyBorder="1" applyAlignment="1">
      <alignment horizontal="right"/>
    </xf>
    <xf numFmtId="0" fontId="39" fillId="2" borderId="1" xfId="2" applyFont="1" applyFill="1" applyBorder="1" applyAlignment="1">
      <alignment horizontal="right"/>
    </xf>
    <xf numFmtId="0" fontId="39" fillId="2" borderId="6" xfId="2" applyFont="1" applyFill="1" applyBorder="1" applyAlignment="1">
      <alignment horizontal="center" vertical="center"/>
    </xf>
    <xf numFmtId="0" fontId="39" fillId="2" borderId="0" xfId="2" applyFont="1" applyFill="1" applyBorder="1" applyAlignment="1">
      <alignment horizontal="center" vertical="center" wrapText="1"/>
    </xf>
    <xf numFmtId="0" fontId="40" fillId="2" borderId="0" xfId="2" applyFont="1" applyFill="1" applyBorder="1" applyAlignment="1"/>
    <xf numFmtId="0" fontId="40" fillId="2" borderId="0" xfId="2" applyFont="1" applyFill="1">
      <alignment horizontal="left"/>
    </xf>
    <xf numFmtId="0" fontId="40" fillId="2" borderId="0" xfId="2" applyFont="1" applyFill="1" applyAlignment="1"/>
    <xf numFmtId="0" fontId="35" fillId="2" borderId="0" xfId="2" applyFont="1" applyFill="1" applyAlignment="1">
      <alignment horizontal="center"/>
    </xf>
    <xf numFmtId="1" fontId="30" fillId="2" borderId="1" xfId="2" applyNumberFormat="1" applyFont="1" applyFill="1" applyBorder="1" applyAlignment="1">
      <alignment horizontal="right"/>
    </xf>
    <xf numFmtId="0" fontId="30" fillId="2" borderId="6" xfId="2" applyFont="1" applyFill="1" applyBorder="1" applyAlignment="1">
      <alignment horizontal="left"/>
    </xf>
    <xf numFmtId="0" fontId="30" fillId="2" borderId="3" xfId="2" applyFont="1" applyFill="1" applyBorder="1" applyAlignment="1">
      <alignment horizontal="left"/>
    </xf>
    <xf numFmtId="1" fontId="30" fillId="2" borderId="1" xfId="2" applyNumberFormat="1" applyFont="1" applyFill="1" applyBorder="1" applyAlignment="1"/>
    <xf numFmtId="0" fontId="30" fillId="2" borderId="0" xfId="2" applyFont="1" applyFill="1" applyBorder="1" applyAlignment="1">
      <alignment horizontal="left"/>
    </xf>
    <xf numFmtId="0" fontId="41" fillId="2" borderId="0" xfId="2" applyFont="1" applyFill="1" applyAlignment="1"/>
    <xf numFmtId="0" fontId="42" fillId="2" borderId="0" xfId="2" applyFont="1" applyFill="1" applyAlignment="1">
      <alignment wrapText="1"/>
    </xf>
    <xf numFmtId="0" fontId="34" fillId="2" borderId="0" xfId="2" applyFont="1" applyFill="1" applyAlignment="1">
      <alignment horizontal="center"/>
    </xf>
    <xf numFmtId="0" fontId="36" fillId="2" borderId="0" xfId="2" applyFont="1" applyFill="1" applyAlignment="1">
      <alignment horizontal="left"/>
    </xf>
    <xf numFmtId="1" fontId="34" fillId="2" borderId="1" xfId="2" applyNumberFormat="1" applyFont="1" applyFill="1" applyBorder="1" applyAlignment="1">
      <alignment horizontal="center"/>
    </xf>
    <xf numFmtId="0" fontId="30" fillId="2" borderId="1" xfId="2" applyFont="1" applyFill="1" applyBorder="1" applyAlignment="1">
      <alignment horizontal="center"/>
    </xf>
    <xf numFmtId="1" fontId="30" fillId="2" borderId="1" xfId="2" applyNumberFormat="1" applyFont="1" applyFill="1" applyBorder="1" applyAlignment="1">
      <alignment horizontal="center"/>
    </xf>
    <xf numFmtId="0" fontId="30" fillId="2" borderId="7" xfId="2" applyFont="1" applyFill="1" applyBorder="1" applyAlignment="1">
      <alignment horizontal="center"/>
    </xf>
    <xf numFmtId="1" fontId="39" fillId="2" borderId="1" xfId="2" applyNumberFormat="1" applyFont="1" applyFill="1" applyBorder="1" applyAlignment="1"/>
    <xf numFmtId="0" fontId="43" fillId="2" borderId="0" xfId="2" applyFont="1" applyFill="1">
      <alignment horizontal="left"/>
    </xf>
    <xf numFmtId="0" fontId="37" fillId="2" borderId="0" xfId="2" applyFont="1" applyFill="1">
      <alignment horizontal="left"/>
    </xf>
    <xf numFmtId="0" fontId="43" fillId="2" borderId="0" xfId="2" applyFont="1" applyFill="1" applyBorder="1">
      <alignment horizontal="left"/>
    </xf>
    <xf numFmtId="0" fontId="44" fillId="2" borderId="0" xfId="0" applyFont="1" applyFill="1" applyBorder="1"/>
    <xf numFmtId="0" fontId="35" fillId="2" borderId="0" xfId="2" applyFont="1" applyFill="1" applyBorder="1">
      <alignment horizontal="left"/>
    </xf>
    <xf numFmtId="0" fontId="35" fillId="2" borderId="0" xfId="2" applyFont="1" applyFill="1" applyBorder="1" applyAlignment="1"/>
    <xf numFmtId="0" fontId="36" fillId="2" borderId="0" xfId="2" applyFont="1" applyFill="1" applyBorder="1" applyAlignment="1"/>
    <xf numFmtId="0" fontId="43" fillId="2" borderId="0" xfId="2" applyFont="1" applyFill="1" applyBorder="1" applyAlignment="1"/>
    <xf numFmtId="0" fontId="30" fillId="2" borderId="1" xfId="0" applyFont="1" applyFill="1" applyBorder="1" applyAlignment="1">
      <alignment horizontal="center" vertical="center" wrapText="1"/>
    </xf>
    <xf numFmtId="0" fontId="30" fillId="2" borderId="2" xfId="2" applyFont="1" applyFill="1" applyBorder="1" applyAlignment="1">
      <alignment horizontal="center" vertical="center" wrapText="1"/>
    </xf>
    <xf numFmtId="0" fontId="30" fillId="2" borderId="1" xfId="2" applyFont="1" applyFill="1" applyBorder="1" applyAlignment="1">
      <alignment horizontal="center" vertical="center" wrapText="1"/>
    </xf>
    <xf numFmtId="0" fontId="31" fillId="2" borderId="1" xfId="0" applyFont="1" applyFill="1" applyBorder="1" applyAlignment="1">
      <alignment horizontal="center" vertical="center"/>
    </xf>
    <xf numFmtId="0" fontId="30" fillId="2" borderId="0" xfId="2" applyFont="1" applyFill="1" applyBorder="1" applyAlignment="1">
      <alignment horizontal="center" vertical="center" wrapText="1"/>
    </xf>
    <xf numFmtId="0" fontId="35" fillId="2" borderId="0" xfId="2" applyFont="1" applyFill="1" applyBorder="1" applyAlignment="1">
      <alignment vertical="center" wrapText="1"/>
    </xf>
    <xf numFmtId="2" fontId="31" fillId="2" borderId="1" xfId="0" applyNumberFormat="1" applyFont="1" applyFill="1" applyBorder="1" applyAlignment="1">
      <alignment horizontal="center" vertical="center" wrapText="1"/>
    </xf>
    <xf numFmtId="2" fontId="30" fillId="2" borderId="2" xfId="2" applyNumberFormat="1" applyFont="1" applyFill="1" applyBorder="1" applyAlignment="1">
      <alignment horizontal="center"/>
    </xf>
    <xf numFmtId="2" fontId="30" fillId="2" borderId="1" xfId="2" applyNumberFormat="1" applyFont="1" applyFill="1" applyBorder="1" applyAlignment="1">
      <alignment horizontal="center"/>
    </xf>
    <xf numFmtId="0" fontId="35" fillId="2" borderId="0" xfId="2" applyFont="1" applyFill="1" applyBorder="1" applyAlignment="1">
      <alignment horizontal="center"/>
    </xf>
    <xf numFmtId="0" fontId="43" fillId="2" borderId="0" xfId="2" applyFont="1" applyFill="1" applyBorder="1" applyAlignment="1">
      <alignment horizontal="center"/>
    </xf>
    <xf numFmtId="2" fontId="45" fillId="2" borderId="0" xfId="0" applyNumberFormat="1" applyFont="1" applyFill="1" applyBorder="1" applyAlignment="1">
      <alignment horizontal="center" vertical="center" wrapText="1"/>
    </xf>
    <xf numFmtId="2" fontId="35" fillId="2" borderId="0" xfId="2" applyNumberFormat="1" applyFont="1" applyFill="1" applyBorder="1" applyAlignment="1">
      <alignment horizontal="center"/>
    </xf>
    <xf numFmtId="0" fontId="46" fillId="2" borderId="0" xfId="2" applyFont="1" applyFill="1" applyAlignment="1">
      <alignment horizontal="center" wrapText="1"/>
    </xf>
    <xf numFmtId="1" fontId="39" fillId="2" borderId="1" xfId="2" applyNumberFormat="1" applyFont="1" applyFill="1" applyBorder="1" applyAlignment="1">
      <alignment horizontal="right"/>
    </xf>
    <xf numFmtId="0" fontId="31" fillId="2" borderId="1" xfId="0" applyFont="1" applyFill="1" applyBorder="1" applyAlignment="1">
      <alignment horizontal="center" vertical="center" wrapText="1"/>
    </xf>
    <xf numFmtId="0" fontId="29" fillId="2" borderId="0" xfId="2" applyFont="1" applyFill="1" applyAlignment="1">
      <alignment vertical="center"/>
    </xf>
    <xf numFmtId="0" fontId="44" fillId="2" borderId="0" xfId="0" applyFont="1" applyFill="1"/>
    <xf numFmtId="0" fontId="47" fillId="2" borderId="0" xfId="2" applyFont="1" applyFill="1" applyAlignment="1">
      <alignment wrapText="1"/>
    </xf>
    <xf numFmtId="0" fontId="32" fillId="2" borderId="0" xfId="2" applyFont="1" applyFill="1">
      <alignment horizontal="left"/>
    </xf>
    <xf numFmtId="0" fontId="45" fillId="2" borderId="0" xfId="0" applyFont="1" applyFill="1"/>
    <xf numFmtId="0" fontId="34" fillId="2" borderId="0" xfId="2" applyFont="1" applyFill="1" applyAlignment="1"/>
    <xf numFmtId="0" fontId="48" fillId="2" borderId="0" xfId="0" applyFont="1" applyFill="1"/>
    <xf numFmtId="0" fontId="44" fillId="2" borderId="0" xfId="0" applyFont="1" applyFill="1" applyBorder="1" applyAlignment="1">
      <alignment vertical="center" wrapText="1"/>
    </xf>
    <xf numFmtId="0" fontId="31" fillId="2" borderId="0" xfId="0" applyFont="1" applyFill="1" applyAlignment="1">
      <alignment horizontal="center" vertical="center"/>
    </xf>
    <xf numFmtId="2" fontId="31" fillId="2" borderId="0" xfId="0" applyNumberFormat="1" applyFont="1" applyFill="1" applyBorder="1" applyAlignment="1">
      <alignment horizontal="center" vertical="center"/>
    </xf>
    <xf numFmtId="0" fontId="34" fillId="2" borderId="0" xfId="2" applyFont="1" applyFill="1" applyBorder="1" applyAlignment="1"/>
    <xf numFmtId="0" fontId="39" fillId="2" borderId="2" xfId="2" applyFont="1" applyFill="1" applyBorder="1" applyAlignment="1"/>
    <xf numFmtId="0" fontId="39" fillId="2" borderId="6" xfId="2" applyFont="1" applyFill="1" applyBorder="1" applyAlignment="1"/>
    <xf numFmtId="0" fontId="34" fillId="2" borderId="0" xfId="2" applyFont="1" applyFill="1" applyAlignment="1">
      <alignment wrapText="1"/>
    </xf>
    <xf numFmtId="1" fontId="34" fillId="2" borderId="0" xfId="2" applyNumberFormat="1" applyFont="1" applyFill="1" applyBorder="1" applyAlignment="1"/>
    <xf numFmtId="1" fontId="30" fillId="2" borderId="0" xfId="2" applyNumberFormat="1" applyFont="1" applyFill="1" applyBorder="1" applyAlignment="1"/>
    <xf numFmtId="1" fontId="43" fillId="2" borderId="0" xfId="2" applyNumberFormat="1" applyFont="1" applyFill="1" applyBorder="1" applyAlignment="1"/>
    <xf numFmtId="0" fontId="30" fillId="2" borderId="0" xfId="2" applyFont="1" applyFill="1" applyBorder="1" applyAlignment="1">
      <alignment wrapText="1"/>
    </xf>
    <xf numFmtId="0" fontId="49" fillId="2" borderId="0" xfId="0" applyFont="1" applyFill="1" applyBorder="1"/>
    <xf numFmtId="2" fontId="45" fillId="2" borderId="0" xfId="0" applyNumberFormat="1" applyFont="1" applyFill="1" applyBorder="1" applyAlignment="1">
      <alignment vertical="center" wrapText="1"/>
    </xf>
    <xf numFmtId="0" fontId="39" fillId="2" borderId="0" xfId="2" applyFont="1" applyFill="1" applyAlignment="1">
      <alignment wrapText="1"/>
    </xf>
    <xf numFmtId="0" fontId="39" fillId="2" borderId="0" xfId="2" applyFont="1" applyFill="1" applyAlignment="1"/>
    <xf numFmtId="0" fontId="46" fillId="2" borderId="0" xfId="2" applyFont="1" applyFill="1" applyAlignment="1"/>
    <xf numFmtId="2" fontId="50" fillId="2" borderId="0" xfId="1" applyNumberFormat="1" applyFont="1" applyFill="1" applyAlignment="1" applyProtection="1"/>
    <xf numFmtId="0" fontId="51" fillId="2" borderId="0" xfId="0" applyFont="1" applyFill="1" applyAlignment="1"/>
    <xf numFmtId="0" fontId="52" fillId="2" borderId="0" xfId="0" applyFont="1" applyFill="1" applyAlignment="1"/>
    <xf numFmtId="0" fontId="53" fillId="2" borderId="0" xfId="0" applyFont="1" applyFill="1" applyAlignment="1"/>
    <xf numFmtId="0" fontId="54" fillId="2" borderId="0" xfId="0" applyFont="1" applyFill="1" applyAlignment="1"/>
    <xf numFmtId="0" fontId="30" fillId="2" borderId="1" xfId="0" applyFont="1" applyFill="1" applyBorder="1" applyAlignment="1">
      <alignment horizontal="center" wrapText="1"/>
    </xf>
    <xf numFmtId="0" fontId="38" fillId="2" borderId="0" xfId="2" applyFont="1" applyFill="1">
      <alignment horizontal="left"/>
    </xf>
    <xf numFmtId="0" fontId="31" fillId="2" borderId="0" xfId="0" applyFont="1" applyFill="1" applyBorder="1"/>
    <xf numFmtId="0" fontId="30" fillId="2" borderId="2" xfId="2" applyFont="1" applyFill="1" applyBorder="1" applyAlignment="1">
      <alignment horizontal="left" vertical="center"/>
    </xf>
    <xf numFmtId="0" fontId="30" fillId="2" borderId="6" xfId="2" applyFont="1" applyFill="1" applyBorder="1" applyAlignment="1">
      <alignment horizontal="left" vertical="center"/>
    </xf>
    <xf numFmtId="1" fontId="44" fillId="2" borderId="0" xfId="0" applyNumberFormat="1" applyFont="1" applyFill="1"/>
    <xf numFmtId="14" fontId="39" fillId="2" borderId="6" xfId="2" applyNumberFormat="1" applyFont="1" applyFill="1" applyBorder="1" applyAlignment="1"/>
    <xf numFmtId="0" fontId="30" fillId="2" borderId="3" xfId="2" applyFont="1" applyFill="1" applyBorder="1" applyAlignment="1"/>
    <xf numFmtId="0" fontId="30" fillId="2" borderId="3" xfId="2" applyFont="1" applyFill="1" applyBorder="1" applyAlignment="1">
      <alignment horizontal="left" wrapText="1"/>
    </xf>
    <xf numFmtId="0" fontId="44" fillId="2" borderId="1" xfId="0" applyFont="1" applyFill="1" applyBorder="1"/>
    <xf numFmtId="0" fontId="3" fillId="0" borderId="0" xfId="2" applyFont="1">
      <alignment horizontal="left"/>
    </xf>
    <xf numFmtId="0" fontId="39" fillId="2" borderId="1" xfId="2" applyFont="1" applyFill="1" applyBorder="1" applyAlignment="1">
      <alignment horizontal="center" vertical="center" wrapText="1"/>
    </xf>
    <xf numFmtId="0" fontId="38" fillId="2" borderId="0" xfId="2" applyFont="1" applyFill="1" applyBorder="1">
      <alignment horizontal="left"/>
    </xf>
    <xf numFmtId="0" fontId="34" fillId="2" borderId="0" xfId="2" applyFont="1" applyFill="1" applyAlignment="1">
      <alignment horizontal="center" wrapText="1"/>
    </xf>
    <xf numFmtId="0" fontId="42" fillId="2" borderId="0" xfId="2" applyFont="1" applyFill="1" applyAlignment="1">
      <alignment horizontal="center" wrapText="1"/>
    </xf>
    <xf numFmtId="0" fontId="39" fillId="2" borderId="2" xfId="2" applyFont="1" applyFill="1" applyBorder="1" applyAlignment="1">
      <alignment horizontal="center" vertical="center"/>
    </xf>
    <xf numFmtId="0" fontId="39" fillId="2" borderId="6" xfId="2" applyFont="1" applyFill="1" applyBorder="1" applyAlignment="1">
      <alignment horizontal="center" vertical="center"/>
    </xf>
    <xf numFmtId="0" fontId="39" fillId="2" borderId="3" xfId="2" applyFont="1" applyFill="1" applyBorder="1" applyAlignment="1">
      <alignment horizontal="center" vertical="center"/>
    </xf>
    <xf numFmtId="0" fontId="30" fillId="2" borderId="2" xfId="2" applyFont="1" applyFill="1" applyBorder="1" applyAlignment="1">
      <alignment horizontal="left"/>
    </xf>
    <xf numFmtId="0" fontId="30" fillId="2" borderId="6" xfId="2" applyFont="1" applyFill="1" applyBorder="1" applyAlignment="1">
      <alignment horizontal="left"/>
    </xf>
    <xf numFmtId="0" fontId="30" fillId="2" borderId="3" xfId="2" applyFont="1" applyFill="1" applyBorder="1" applyAlignment="1">
      <alignment horizontal="left"/>
    </xf>
    <xf numFmtId="0" fontId="34" fillId="2" borderId="2" xfId="2" applyFont="1" applyFill="1" applyBorder="1" applyAlignment="1">
      <alignment horizontal="center" vertical="center"/>
    </xf>
    <xf numFmtId="0" fontId="34" fillId="2" borderId="6" xfId="2" applyFont="1" applyFill="1" applyBorder="1" applyAlignment="1">
      <alignment horizontal="center" vertical="center"/>
    </xf>
    <xf numFmtId="0" fontId="34" fillId="2" borderId="3" xfId="2" applyFont="1" applyFill="1" applyBorder="1" applyAlignment="1">
      <alignment horizontal="center" vertical="center"/>
    </xf>
    <xf numFmtId="0" fontId="36" fillId="2" borderId="0" xfId="2" applyFont="1" applyFill="1" applyBorder="1" applyAlignment="1">
      <alignment horizontal="right"/>
    </xf>
    <xf numFmtId="0" fontId="30" fillId="2" borderId="2" xfId="2" applyFont="1" applyFill="1" applyBorder="1" applyAlignment="1">
      <alignment horizontal="left" wrapText="1"/>
    </xf>
    <xf numFmtId="0" fontId="30" fillId="2" borderId="6" xfId="2" applyFont="1" applyFill="1" applyBorder="1" applyAlignment="1">
      <alignment horizontal="left" wrapText="1"/>
    </xf>
    <xf numFmtId="0" fontId="30" fillId="2" borderId="3" xfId="2" applyFont="1" applyFill="1" applyBorder="1" applyAlignment="1">
      <alignment horizontal="left" wrapText="1"/>
    </xf>
    <xf numFmtId="0" fontId="35" fillId="2" borderId="0" xfId="2" applyFont="1" applyFill="1">
      <alignment horizontal="left"/>
    </xf>
    <xf numFmtId="0" fontId="36" fillId="2" borderId="0" xfId="2" applyFont="1" applyFill="1">
      <alignment horizontal="left"/>
    </xf>
    <xf numFmtId="0" fontId="40" fillId="2" borderId="10" xfId="2" applyFont="1" applyFill="1" applyBorder="1" applyAlignment="1">
      <alignment horizontal="center" vertical="center" wrapText="1"/>
    </xf>
    <xf numFmtId="0" fontId="40" fillId="2" borderId="12" xfId="2" applyFont="1" applyFill="1" applyBorder="1" applyAlignment="1">
      <alignment horizontal="center" vertical="center" wrapText="1"/>
    </xf>
    <xf numFmtId="0" fontId="40" fillId="2" borderId="13" xfId="2" applyFont="1" applyFill="1" applyBorder="1" applyAlignment="1">
      <alignment horizontal="center" vertical="center" wrapText="1"/>
    </xf>
    <xf numFmtId="0" fontId="40" fillId="2" borderId="14" xfId="2" applyFont="1" applyFill="1" applyBorder="1" applyAlignment="1">
      <alignment horizontal="center" vertical="center" wrapText="1"/>
    </xf>
    <xf numFmtId="0" fontId="44" fillId="2" borderId="5" xfId="0" applyFont="1" applyFill="1" applyBorder="1"/>
    <xf numFmtId="0" fontId="44" fillId="2" borderId="7" xfId="0" applyFont="1" applyFill="1" applyBorder="1"/>
    <xf numFmtId="2" fontId="30" fillId="2" borderId="2" xfId="2" applyNumberFormat="1" applyFont="1" applyFill="1" applyBorder="1" applyAlignment="1">
      <alignment horizontal="center" vertical="center"/>
    </xf>
    <xf numFmtId="2" fontId="30" fillId="2" borderId="6" xfId="2" applyNumberFormat="1" applyFont="1" applyFill="1" applyBorder="1" applyAlignment="1">
      <alignment horizontal="center" vertical="center"/>
    </xf>
    <xf numFmtId="0" fontId="44" fillId="2" borderId="1" xfId="0" applyFont="1" applyFill="1" applyBorder="1" applyAlignment="1">
      <alignment horizontal="center" vertical="center" wrapText="1"/>
    </xf>
    <xf numFmtId="0" fontId="34" fillId="2" borderId="0" xfId="2" applyFont="1" applyFill="1" applyBorder="1" applyAlignment="1">
      <alignment horizontal="center"/>
    </xf>
    <xf numFmtId="0" fontId="36" fillId="2" borderId="0" xfId="2" applyFont="1" applyFill="1" applyBorder="1">
      <alignment horizontal="left"/>
    </xf>
    <xf numFmtId="0" fontId="39" fillId="2" borderId="0" xfId="2" applyFont="1" applyFill="1" applyAlignment="1">
      <alignment horizontal="center"/>
    </xf>
    <xf numFmtId="0" fontId="37" fillId="2" borderId="0" xfId="2" applyFont="1" applyFill="1" applyBorder="1" applyAlignment="1">
      <alignment horizontal="left"/>
    </xf>
    <xf numFmtId="0" fontId="35" fillId="2" borderId="8" xfId="2" applyFont="1" applyFill="1" applyBorder="1" applyAlignment="1">
      <alignment horizontal="left"/>
    </xf>
    <xf numFmtId="0" fontId="35" fillId="2" borderId="9" xfId="2" applyFont="1" applyFill="1" applyBorder="1" applyAlignment="1">
      <alignment horizontal="left"/>
    </xf>
    <xf numFmtId="0" fontId="43" fillId="2" borderId="2" xfId="2" applyNumberFormat="1" applyFont="1" applyFill="1" applyBorder="1" applyAlignment="1">
      <alignment horizontal="left" wrapText="1"/>
    </xf>
    <xf numFmtId="0" fontId="43" fillId="2" borderId="6" xfId="2" applyNumberFormat="1" applyFont="1" applyFill="1" applyBorder="1" applyAlignment="1">
      <alignment horizontal="left" wrapText="1"/>
    </xf>
    <xf numFmtId="0" fontId="34" fillId="2" borderId="0" xfId="2" applyFont="1" applyFill="1" applyAlignment="1">
      <alignment horizontal="center"/>
    </xf>
    <xf numFmtId="0" fontId="30" fillId="2" borderId="2" xfId="2" applyFont="1" applyFill="1" applyBorder="1" applyAlignment="1">
      <alignment horizontal="center"/>
    </xf>
    <xf numFmtId="0" fontId="30" fillId="2" borderId="6" xfId="2" applyFont="1" applyFill="1" applyBorder="1" applyAlignment="1">
      <alignment horizontal="center"/>
    </xf>
    <xf numFmtId="0" fontId="30" fillId="2" borderId="3" xfId="2" applyFont="1" applyFill="1" applyBorder="1" applyAlignment="1">
      <alignment horizontal="center"/>
    </xf>
    <xf numFmtId="0" fontId="44" fillId="2" borderId="10" xfId="0" applyFont="1" applyFill="1" applyBorder="1" applyAlignment="1">
      <alignment horizontal="center" vertical="center" wrapText="1"/>
    </xf>
    <xf numFmtId="0" fontId="44" fillId="2" borderId="12" xfId="0" applyFont="1" applyFill="1" applyBorder="1" applyAlignment="1">
      <alignment horizontal="center" vertical="center" wrapText="1"/>
    </xf>
    <xf numFmtId="0" fontId="44" fillId="2" borderId="13" xfId="0" applyFont="1" applyFill="1" applyBorder="1" applyAlignment="1">
      <alignment horizontal="center" vertical="center" wrapText="1"/>
    </xf>
    <xf numFmtId="0" fontId="51" fillId="2" borderId="0" xfId="0" applyFont="1" applyFill="1" applyAlignment="1">
      <alignment horizontal="center"/>
    </xf>
    <xf numFmtId="2" fontId="50" fillId="2" borderId="0" xfId="1" applyNumberFormat="1" applyFont="1" applyFill="1" applyAlignment="1" applyProtection="1">
      <alignment horizontal="center"/>
    </xf>
    <xf numFmtId="2" fontId="45" fillId="2" borderId="0" xfId="0" applyNumberFormat="1" applyFont="1" applyFill="1" applyBorder="1" applyAlignment="1">
      <alignment horizontal="left" vertical="center" wrapText="1"/>
    </xf>
    <xf numFmtId="0" fontId="39" fillId="2" borderId="0" xfId="2" applyFont="1" applyFill="1" applyAlignment="1">
      <alignment horizontal="center" wrapText="1"/>
    </xf>
    <xf numFmtId="0" fontId="40" fillId="2" borderId="11" xfId="2" applyFont="1" applyFill="1" applyBorder="1" applyAlignment="1">
      <alignment horizontal="center" vertical="center" wrapText="1"/>
    </xf>
    <xf numFmtId="0" fontId="40" fillId="2" borderId="0" xfId="2" applyFont="1" applyFill="1" applyBorder="1" applyAlignment="1">
      <alignment horizontal="center" vertical="center" wrapText="1"/>
    </xf>
    <xf numFmtId="0" fontId="40" fillId="2" borderId="8" xfId="2" applyFont="1" applyFill="1" applyBorder="1" applyAlignment="1">
      <alignment horizontal="center" vertical="center" wrapText="1"/>
    </xf>
    <xf numFmtId="0" fontId="40" fillId="2" borderId="1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left" wrapText="1"/>
    </xf>
    <xf numFmtId="0" fontId="30" fillId="2" borderId="0" xfId="2" applyFont="1" applyFill="1" applyAlignment="1">
      <alignment horizontal="justify" wrapText="1"/>
    </xf>
    <xf numFmtId="0" fontId="53" fillId="2" borderId="0" xfId="0" applyFont="1" applyFill="1" applyAlignment="1">
      <alignment horizontal="center"/>
    </xf>
    <xf numFmtId="0" fontId="29" fillId="2" borderId="0" xfId="2" applyFont="1" applyFill="1" applyAlignment="1">
      <alignment horizontal="center" vertical="center"/>
    </xf>
    <xf numFmtId="0" fontId="29" fillId="2" borderId="0" xfId="2" applyFont="1" applyFill="1" applyAlignment="1">
      <alignment horizontal="center"/>
    </xf>
    <xf numFmtId="0" fontId="30" fillId="2" borderId="0" xfId="2" applyFont="1" applyFill="1" applyAlignment="1">
      <alignment horizontal="left" wrapText="1"/>
    </xf>
    <xf numFmtId="0" fontId="40" fillId="2" borderId="0" xfId="2" applyFont="1" applyFill="1">
      <alignment horizontal="left"/>
    </xf>
    <xf numFmtId="0" fontId="42" fillId="2" borderId="0" xfId="2" applyFont="1" applyFill="1" applyAlignment="1">
      <alignment horizontal="left" wrapText="1"/>
    </xf>
    <xf numFmtId="0" fontId="30" fillId="2" borderId="6" xfId="2" applyFont="1" applyFill="1" applyBorder="1" applyAlignment="1">
      <alignment horizontal="left" vertical="center"/>
    </xf>
    <xf numFmtId="0" fontId="30" fillId="2" borderId="3" xfId="2" applyFont="1" applyFill="1" applyBorder="1" applyAlignment="1">
      <alignment horizontal="left" vertical="center"/>
    </xf>
    <xf numFmtId="0" fontId="41" fillId="2" borderId="0" xfId="2" applyFont="1" applyFill="1">
      <alignment horizontal="left"/>
    </xf>
    <xf numFmtId="0" fontId="39" fillId="2" borderId="12" xfId="2" applyFont="1" applyFill="1" applyBorder="1" applyAlignment="1">
      <alignment horizontal="center" vertical="center" wrapText="1"/>
    </xf>
    <xf numFmtId="0" fontId="39" fillId="2" borderId="4" xfId="2" applyFont="1" applyFill="1" applyBorder="1" applyAlignment="1">
      <alignment horizontal="center" vertical="center" wrapText="1"/>
    </xf>
    <xf numFmtId="0" fontId="39" fillId="2" borderId="13" xfId="2" applyFont="1" applyFill="1" applyBorder="1" applyAlignment="1">
      <alignment horizontal="center" vertical="center" wrapText="1"/>
    </xf>
    <xf numFmtId="0" fontId="39" fillId="2" borderId="9" xfId="2" applyFont="1" applyFill="1" applyBorder="1" applyAlignment="1">
      <alignment horizontal="center" vertical="center" wrapText="1"/>
    </xf>
    <xf numFmtId="0" fontId="30" fillId="2" borderId="0" xfId="2" applyFont="1" applyFill="1" applyBorder="1" applyAlignment="1">
      <alignment horizontal="center" wrapText="1"/>
    </xf>
    <xf numFmtId="0" fontId="39" fillId="2" borderId="10" xfId="2" applyFont="1" applyFill="1" applyBorder="1" applyAlignment="1">
      <alignment horizontal="center" vertical="center" wrapText="1"/>
    </xf>
    <xf numFmtId="0" fontId="39" fillId="2" borderId="15" xfId="2" applyFont="1" applyFill="1" applyBorder="1" applyAlignment="1">
      <alignment horizontal="center" vertical="center" wrapText="1"/>
    </xf>
    <xf numFmtId="0" fontId="44" fillId="2" borderId="6" xfId="0" applyFont="1" applyFill="1" applyBorder="1"/>
    <xf numFmtId="0" fontId="44" fillId="2" borderId="3" xfId="0" applyFont="1" applyFill="1" applyBorder="1"/>
    <xf numFmtId="0" fontId="39" fillId="2" borderId="0" xfId="2" applyFont="1" applyFill="1" applyBorder="1" applyAlignment="1">
      <alignment horizontal="center" vertical="center" wrapText="1"/>
    </xf>
    <xf numFmtId="0" fontId="39" fillId="2" borderId="8" xfId="2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 enableFormatConditionsCalculation="0">
    <tabColor indexed="13"/>
    <pageSetUpPr fitToPage="1"/>
  </sheetPr>
  <dimension ref="A1:Q74"/>
  <sheetViews>
    <sheetView topLeftCell="A59" zoomScale="110" zoomScaleNormal="110" zoomScaleSheetLayoutView="100" workbookViewId="0">
      <selection activeCell="B59" sqref="B59"/>
    </sheetView>
  </sheetViews>
  <sheetFormatPr defaultRowHeight="12.75"/>
  <cols>
    <col min="1" max="1" width="4.5703125" customWidth="1"/>
    <col min="2" max="2" width="16.42578125" customWidth="1"/>
    <col min="3" max="3" width="11.140625" style="17" customWidth="1"/>
    <col min="4" max="4" width="11.5703125" customWidth="1"/>
    <col min="5" max="5" width="7" customWidth="1"/>
    <col min="6" max="6" width="34.5703125" customWidth="1"/>
    <col min="7" max="7" width="12.5703125" customWidth="1"/>
    <col min="8" max="8" width="13.7109375" customWidth="1"/>
    <col min="9" max="9" width="12.140625" customWidth="1"/>
    <col min="12" max="12" width="9.42578125" bestFit="1" customWidth="1"/>
    <col min="13" max="13" width="9.7109375" bestFit="1" customWidth="1"/>
  </cols>
  <sheetData>
    <row r="1" spans="1:12" ht="24.75" customHeight="1">
      <c r="A1" s="1" t="s">
        <v>49</v>
      </c>
      <c r="B1" s="3" t="s">
        <v>62</v>
      </c>
      <c r="C1" s="14" t="s">
        <v>63</v>
      </c>
      <c r="D1" s="22"/>
      <c r="E1" s="1"/>
      <c r="F1" s="3"/>
      <c r="G1" s="3"/>
      <c r="H1" s="41" t="s">
        <v>17</v>
      </c>
      <c r="I1" s="2"/>
      <c r="J1" s="19"/>
    </row>
    <row r="2" spans="1:12">
      <c r="A2" s="2">
        <v>1</v>
      </c>
      <c r="B2" s="2" t="s">
        <v>76</v>
      </c>
      <c r="C2" s="15">
        <v>3696.6</v>
      </c>
      <c r="D2" s="19"/>
      <c r="E2" s="2"/>
      <c r="F2" s="2"/>
      <c r="G2" s="2"/>
      <c r="H2" s="2"/>
      <c r="I2" s="42"/>
      <c r="J2" s="19"/>
    </row>
    <row r="3" spans="1:12">
      <c r="A3" s="2">
        <v>2</v>
      </c>
      <c r="B3" s="2" t="s">
        <v>77</v>
      </c>
      <c r="C3" s="15">
        <v>7319.94</v>
      </c>
      <c r="D3" s="19"/>
      <c r="E3" s="2"/>
      <c r="F3" s="2"/>
      <c r="G3" s="2"/>
      <c r="H3" s="2"/>
      <c r="I3" s="42"/>
      <c r="J3" s="19"/>
    </row>
    <row r="4" spans="1:12">
      <c r="A4" s="2">
        <v>3</v>
      </c>
      <c r="B4" s="2" t="s">
        <v>78</v>
      </c>
      <c r="C4" s="15">
        <v>3698.5</v>
      </c>
      <c r="D4" s="19"/>
      <c r="E4" s="2"/>
      <c r="F4" s="2"/>
      <c r="G4" s="2"/>
      <c r="H4" s="2"/>
      <c r="I4" s="42"/>
      <c r="J4" s="19"/>
      <c r="L4" s="13"/>
    </row>
    <row r="5" spans="1:12">
      <c r="A5" s="2">
        <v>4</v>
      </c>
      <c r="B5" s="2" t="s">
        <v>79</v>
      </c>
      <c r="C5" s="15">
        <v>3720</v>
      </c>
      <c r="D5" s="19"/>
      <c r="E5" s="2"/>
      <c r="F5" s="2"/>
      <c r="G5" s="2"/>
      <c r="H5" s="2"/>
      <c r="I5" s="42"/>
      <c r="J5" s="19"/>
    </row>
    <row r="6" spans="1:12">
      <c r="A6" s="2">
        <v>5</v>
      </c>
      <c r="B6" s="2" t="s">
        <v>80</v>
      </c>
      <c r="C6" s="15">
        <v>10961.46</v>
      </c>
      <c r="D6" s="19"/>
      <c r="E6" s="2"/>
      <c r="F6" s="2"/>
      <c r="G6" s="2"/>
      <c r="H6" s="2"/>
      <c r="I6" s="42"/>
      <c r="J6" s="19"/>
    </row>
    <row r="7" spans="1:12">
      <c r="A7" s="2">
        <v>6</v>
      </c>
      <c r="B7" s="2" t="s">
        <v>81</v>
      </c>
      <c r="C7" s="15">
        <v>10949.9</v>
      </c>
      <c r="D7" s="19"/>
      <c r="E7" s="2"/>
      <c r="F7" s="2"/>
      <c r="G7" s="2"/>
      <c r="H7" s="2"/>
      <c r="I7" s="42"/>
      <c r="J7" s="19"/>
    </row>
    <row r="8" spans="1:12">
      <c r="A8" s="2">
        <v>7</v>
      </c>
      <c r="B8" s="2" t="s">
        <v>82</v>
      </c>
      <c r="C8" s="15">
        <v>4183.5</v>
      </c>
      <c r="D8" s="19"/>
      <c r="E8" s="2"/>
      <c r="F8" s="2"/>
      <c r="G8" s="2"/>
      <c r="H8" s="2"/>
      <c r="I8" s="42"/>
      <c r="J8" s="19"/>
    </row>
    <row r="9" spans="1:12">
      <c r="A9" s="2">
        <v>8</v>
      </c>
      <c r="B9" s="2" t="s">
        <v>83</v>
      </c>
      <c r="C9" s="15">
        <v>7333.4</v>
      </c>
      <c r="D9" s="19"/>
      <c r="E9" s="2"/>
      <c r="F9" s="2"/>
      <c r="G9" s="2"/>
      <c r="H9" s="2"/>
      <c r="I9" s="42"/>
      <c r="J9" s="19"/>
    </row>
    <row r="10" spans="1:12">
      <c r="A10" s="2">
        <v>9</v>
      </c>
      <c r="B10" s="2" t="s">
        <v>84</v>
      </c>
      <c r="C10" s="15">
        <v>5445.19</v>
      </c>
      <c r="D10" s="19"/>
      <c r="E10" s="2"/>
      <c r="F10" s="2"/>
      <c r="G10" s="2"/>
      <c r="H10" s="2"/>
      <c r="I10" s="42"/>
      <c r="J10" s="19"/>
    </row>
    <row r="11" spans="1:12">
      <c r="A11" s="2">
        <v>10</v>
      </c>
      <c r="B11" s="2" t="s">
        <v>85</v>
      </c>
      <c r="C11" s="15">
        <v>10802.7</v>
      </c>
      <c r="D11" s="19"/>
      <c r="E11" s="2"/>
      <c r="F11" s="2"/>
      <c r="G11" s="2"/>
      <c r="H11" s="2"/>
      <c r="I11" s="42"/>
      <c r="J11" s="19"/>
    </row>
    <row r="12" spans="1:12">
      <c r="A12" s="2">
        <v>11</v>
      </c>
      <c r="B12" s="2" t="s">
        <v>86</v>
      </c>
      <c r="C12" s="15">
        <v>9239.51</v>
      </c>
      <c r="D12" s="19"/>
      <c r="E12" s="2"/>
      <c r="F12" s="2"/>
      <c r="G12" s="2"/>
      <c r="H12" s="2"/>
      <c r="I12" s="42"/>
      <c r="J12" s="19"/>
    </row>
    <row r="13" spans="1:12">
      <c r="A13" s="2">
        <v>12</v>
      </c>
      <c r="B13" s="2" t="s">
        <v>87</v>
      </c>
      <c r="C13" s="15">
        <v>9143.15</v>
      </c>
      <c r="D13" s="19"/>
      <c r="E13" s="2"/>
      <c r="F13" s="2"/>
      <c r="G13" s="2"/>
      <c r="H13" s="2"/>
      <c r="I13" s="42"/>
      <c r="J13" s="19"/>
    </row>
    <row r="14" spans="1:12">
      <c r="A14" s="2">
        <v>13</v>
      </c>
      <c r="B14" s="2" t="s">
        <v>88</v>
      </c>
      <c r="C14" s="15">
        <v>16477.78</v>
      </c>
      <c r="D14" s="19"/>
      <c r="E14" s="2"/>
      <c r="F14" s="2"/>
      <c r="G14" s="2"/>
      <c r="H14" s="2"/>
      <c r="I14" s="42"/>
      <c r="J14" s="19"/>
    </row>
    <row r="15" spans="1:12">
      <c r="A15" s="2">
        <v>14</v>
      </c>
      <c r="B15" s="2" t="s">
        <v>89</v>
      </c>
      <c r="C15" s="15">
        <v>5385.4</v>
      </c>
      <c r="D15" s="19"/>
      <c r="E15" s="2"/>
      <c r="F15" s="2"/>
      <c r="G15" s="2"/>
      <c r="H15" s="2"/>
      <c r="I15" s="42"/>
      <c r="J15" s="19"/>
    </row>
    <row r="16" spans="1:12">
      <c r="A16" s="2">
        <v>15</v>
      </c>
      <c r="B16" s="2" t="s">
        <v>90</v>
      </c>
      <c r="C16" s="15">
        <v>9294.9</v>
      </c>
      <c r="D16" s="19"/>
      <c r="E16" s="2"/>
      <c r="F16" s="2"/>
      <c r="G16" s="2"/>
      <c r="H16" s="2"/>
      <c r="I16" s="42"/>
      <c r="J16" s="19"/>
    </row>
    <row r="17" spans="1:10">
      <c r="A17" s="2">
        <v>16</v>
      </c>
      <c r="B17" s="2" t="s">
        <v>91</v>
      </c>
      <c r="C17" s="15">
        <v>5493.8</v>
      </c>
      <c r="D17" s="19"/>
      <c r="E17" s="2"/>
      <c r="F17" s="2"/>
      <c r="G17" s="2"/>
      <c r="H17" s="2"/>
      <c r="I17" s="42"/>
      <c r="J17" s="19"/>
    </row>
    <row r="18" spans="1:10">
      <c r="A18" s="2">
        <v>17</v>
      </c>
      <c r="B18" s="2" t="s">
        <v>92</v>
      </c>
      <c r="C18" s="15">
        <v>11296.7</v>
      </c>
      <c r="D18" s="19"/>
      <c r="E18" s="2"/>
      <c r="F18" s="2"/>
      <c r="G18" s="2"/>
      <c r="H18" s="2"/>
      <c r="I18" s="42"/>
      <c r="J18" s="19"/>
    </row>
    <row r="19" spans="1:10">
      <c r="A19" s="2">
        <v>18</v>
      </c>
      <c r="B19" s="2" t="s">
        <v>93</v>
      </c>
      <c r="C19" s="15">
        <v>9235.7000000000007</v>
      </c>
      <c r="D19" s="19"/>
      <c r="E19" s="2"/>
      <c r="F19" s="2"/>
      <c r="G19" s="2"/>
      <c r="H19" s="2"/>
      <c r="I19" s="42"/>
      <c r="J19" s="19"/>
    </row>
    <row r="20" spans="1:10">
      <c r="A20" s="2">
        <v>19</v>
      </c>
      <c r="B20" s="2" t="s">
        <v>94</v>
      </c>
      <c r="C20" s="15">
        <v>4408.2</v>
      </c>
      <c r="D20" s="19"/>
      <c r="E20" s="2"/>
      <c r="F20" s="2"/>
      <c r="G20" s="2"/>
      <c r="H20" s="2"/>
      <c r="I20" s="42"/>
      <c r="J20" s="19"/>
    </row>
    <row r="21" spans="1:10">
      <c r="A21" s="2">
        <v>20</v>
      </c>
      <c r="B21" s="2" t="s">
        <v>95</v>
      </c>
      <c r="C21" s="15">
        <v>4463.8</v>
      </c>
      <c r="D21" s="19"/>
      <c r="E21" s="2"/>
      <c r="F21" s="2"/>
      <c r="G21" s="2"/>
      <c r="H21" s="2"/>
      <c r="I21" s="42"/>
    </row>
    <row r="22" spans="1:10">
      <c r="A22" s="2">
        <v>21</v>
      </c>
      <c r="B22" s="2" t="s">
        <v>96</v>
      </c>
      <c r="C22" s="15">
        <v>6168.9</v>
      </c>
      <c r="D22" s="19"/>
      <c r="E22" s="2"/>
      <c r="F22" s="2"/>
      <c r="G22" s="2"/>
      <c r="H22" s="2"/>
      <c r="I22" s="42"/>
    </row>
    <row r="23" spans="1:10">
      <c r="A23" s="2">
        <v>22</v>
      </c>
      <c r="B23" s="2" t="s">
        <v>97</v>
      </c>
      <c r="C23" s="15">
        <v>8664.9</v>
      </c>
      <c r="D23" s="19"/>
      <c r="E23" s="2"/>
      <c r="F23" s="2"/>
      <c r="G23" s="2"/>
      <c r="H23" s="2"/>
      <c r="I23" s="42"/>
    </row>
    <row r="24" spans="1:10">
      <c r="A24" s="2">
        <v>23</v>
      </c>
      <c r="B24" s="2" t="s">
        <v>98</v>
      </c>
      <c r="C24" s="15">
        <v>6313.24</v>
      </c>
      <c r="D24" s="19"/>
      <c r="E24" s="2"/>
      <c r="F24" s="2"/>
      <c r="G24" s="2"/>
      <c r="H24" s="2"/>
      <c r="I24" s="42"/>
    </row>
    <row r="25" spans="1:10">
      <c r="A25" s="2">
        <v>24</v>
      </c>
      <c r="B25" s="2" t="s">
        <v>99</v>
      </c>
      <c r="C25" s="15">
        <v>6413.8</v>
      </c>
      <c r="D25" s="19"/>
      <c r="E25" s="2"/>
      <c r="F25" s="2"/>
      <c r="G25" s="2"/>
      <c r="H25" s="2"/>
      <c r="I25" s="42"/>
    </row>
    <row r="26" spans="1:10">
      <c r="A26" s="2">
        <v>25</v>
      </c>
      <c r="B26" s="2" t="s">
        <v>100</v>
      </c>
      <c r="C26" s="15">
        <v>4233.8999999999996</v>
      </c>
      <c r="D26" s="19"/>
      <c r="E26" s="2"/>
      <c r="F26" s="2"/>
      <c r="G26" s="2"/>
      <c r="H26" s="2"/>
      <c r="I26" s="42"/>
    </row>
    <row r="27" spans="1:10">
      <c r="A27" s="2">
        <v>26</v>
      </c>
      <c r="B27" s="2" t="s">
        <v>101</v>
      </c>
      <c r="C27" s="15">
        <v>6293.5</v>
      </c>
      <c r="D27" s="19"/>
      <c r="E27" s="2"/>
      <c r="F27" s="2"/>
      <c r="G27" s="2"/>
      <c r="H27" s="2"/>
      <c r="I27" s="42"/>
    </row>
    <row r="28" spans="1:10">
      <c r="A28" s="2">
        <v>27</v>
      </c>
      <c r="B28" s="2" t="s">
        <v>102</v>
      </c>
      <c r="C28" s="15">
        <v>3636.5</v>
      </c>
      <c r="D28" s="19"/>
      <c r="E28" s="2"/>
      <c r="F28" s="2"/>
      <c r="G28" s="2"/>
      <c r="H28" s="2"/>
      <c r="I28" s="42"/>
    </row>
    <row r="29" spans="1:10">
      <c r="A29" s="2">
        <v>28</v>
      </c>
      <c r="B29" s="2" t="s">
        <v>103</v>
      </c>
      <c r="C29" s="15">
        <v>5513.4</v>
      </c>
      <c r="D29" s="19"/>
      <c r="E29" s="2"/>
      <c r="F29" s="2"/>
      <c r="G29" s="2"/>
      <c r="H29" s="2"/>
      <c r="I29" s="42"/>
    </row>
    <row r="30" spans="1:10">
      <c r="A30" s="2">
        <v>29</v>
      </c>
      <c r="B30" s="2" t="s">
        <v>104</v>
      </c>
      <c r="C30" s="15">
        <v>6302</v>
      </c>
      <c r="D30" s="19"/>
      <c r="E30" s="2"/>
      <c r="F30" s="2"/>
      <c r="G30" s="2"/>
      <c r="H30" s="2"/>
      <c r="I30" s="42"/>
    </row>
    <row r="31" spans="1:10">
      <c r="A31" s="2">
        <v>30</v>
      </c>
      <c r="B31" s="2" t="s">
        <v>105</v>
      </c>
      <c r="C31" s="15">
        <v>4220.18</v>
      </c>
      <c r="D31" s="19"/>
      <c r="E31" s="2"/>
      <c r="F31" s="2"/>
      <c r="G31" s="2"/>
      <c r="H31" s="2"/>
      <c r="I31" s="42"/>
    </row>
    <row r="32" spans="1:10">
      <c r="A32" s="2">
        <v>31</v>
      </c>
      <c r="B32" s="2" t="s">
        <v>75</v>
      </c>
      <c r="C32" s="15">
        <v>6255.95</v>
      </c>
      <c r="D32" s="19"/>
      <c r="E32" s="2"/>
      <c r="F32" s="2"/>
      <c r="G32" s="2"/>
      <c r="H32" s="2"/>
      <c r="I32" s="42"/>
    </row>
    <row r="33" spans="1:15">
      <c r="A33" s="2"/>
      <c r="B33" s="5" t="s">
        <v>58</v>
      </c>
      <c r="C33" s="16">
        <f>SUM(C2:C32)</f>
        <v>216566.39999999997</v>
      </c>
      <c r="D33" s="21"/>
      <c r="E33" s="2"/>
      <c r="F33" s="5"/>
      <c r="G33" s="4"/>
      <c r="H33" s="4">
        <f>SUM(H2:H32)</f>
        <v>0</v>
      </c>
      <c r="I33" s="43">
        <f>SUM(I2:I32)</f>
        <v>0</v>
      </c>
    </row>
    <row r="34" spans="1:15" ht="31.5">
      <c r="E34" s="34" t="s">
        <v>49</v>
      </c>
      <c r="F34" s="23" t="s">
        <v>73</v>
      </c>
      <c r="G34" s="24" t="s">
        <v>136</v>
      </c>
      <c r="H34" s="24" t="s">
        <v>137</v>
      </c>
      <c r="I34" s="25" t="s">
        <v>138</v>
      </c>
      <c r="J34" s="26"/>
      <c r="K34" s="26"/>
      <c r="L34" s="26"/>
      <c r="M34" s="26"/>
    </row>
    <row r="35" spans="1:15" s="45" customFormat="1" ht="15.75">
      <c r="C35" s="46"/>
      <c r="E35" s="47">
        <v>1</v>
      </c>
      <c r="F35" s="35" t="s">
        <v>53</v>
      </c>
      <c r="G35" s="39">
        <f>3357324-1126052-962205</f>
        <v>1269067</v>
      </c>
      <c r="H35" s="48">
        <f>G35/I35</f>
        <v>5.8599441095202209</v>
      </c>
      <c r="I35" s="49">
        <v>216566.39999999999</v>
      </c>
      <c r="J35" s="50"/>
      <c r="K35" s="51"/>
      <c r="L35" s="39"/>
      <c r="M35" s="50"/>
    </row>
    <row r="36" spans="1:15" ht="31.5">
      <c r="E36" s="27">
        <v>2</v>
      </c>
      <c r="F36" s="36" t="s">
        <v>35</v>
      </c>
      <c r="G36" s="39">
        <f>150000+104304</f>
        <v>254304</v>
      </c>
      <c r="H36" s="30">
        <f t="shared" ref="H36:H50" si="0">G36/I36</f>
        <v>1.174254177933419</v>
      </c>
      <c r="I36" s="37">
        <v>216566.39999999999</v>
      </c>
      <c r="J36" s="34"/>
      <c r="K36" s="38"/>
      <c r="L36" s="34"/>
      <c r="M36" s="38"/>
      <c r="N36" s="34"/>
      <c r="O36" s="38"/>
    </row>
    <row r="37" spans="1:15" ht="31.5">
      <c r="E37" s="27">
        <v>3</v>
      </c>
      <c r="F37" s="28" t="s">
        <v>38</v>
      </c>
      <c r="G37" s="29">
        <v>164000</v>
      </c>
      <c r="H37" s="30">
        <f t="shared" si="0"/>
        <v>0.75727351980732005</v>
      </c>
      <c r="I37" s="31">
        <v>216566.39999999999</v>
      </c>
      <c r="J37" s="26"/>
      <c r="K37" s="26"/>
      <c r="L37" s="26"/>
      <c r="M37" s="26"/>
    </row>
    <row r="38" spans="1:15" ht="15.75">
      <c r="E38" s="27">
        <v>4</v>
      </c>
      <c r="F38" s="35" t="s">
        <v>55</v>
      </c>
      <c r="G38" s="39">
        <v>92589.48</v>
      </c>
      <c r="H38" s="30">
        <f t="shared" si="0"/>
        <v>0.42753391107761868</v>
      </c>
      <c r="I38" s="31">
        <v>216566.39999999999</v>
      </c>
      <c r="J38" s="26"/>
      <c r="K38" s="26"/>
      <c r="L38" s="26"/>
      <c r="M38" s="26"/>
    </row>
    <row r="39" spans="1:15" ht="15.75">
      <c r="E39" s="27">
        <v>5</v>
      </c>
      <c r="F39" s="28" t="s">
        <v>144</v>
      </c>
      <c r="G39" s="29">
        <v>330403.71000000002</v>
      </c>
      <c r="H39" s="30">
        <f t="shared" si="0"/>
        <v>1.5256462221286406</v>
      </c>
      <c r="I39" s="31">
        <v>216566.39999999999</v>
      </c>
      <c r="J39" s="26"/>
      <c r="K39" s="26"/>
      <c r="L39" s="26"/>
      <c r="M39" s="26"/>
      <c r="O39" s="38"/>
    </row>
    <row r="40" spans="1:15" ht="15.75">
      <c r="E40" s="27">
        <v>6</v>
      </c>
      <c r="F40" s="35" t="s">
        <v>141</v>
      </c>
      <c r="G40" s="39">
        <v>2799642</v>
      </c>
      <c r="H40" s="30">
        <f t="shared" si="0"/>
        <v>12.927407021587836</v>
      </c>
      <c r="I40" s="31">
        <v>216566.39999999999</v>
      </c>
      <c r="J40" s="26"/>
      <c r="K40" s="26"/>
      <c r="L40" s="26"/>
      <c r="M40" s="26"/>
    </row>
    <row r="41" spans="1:15" ht="15.75">
      <c r="E41" s="27">
        <v>7</v>
      </c>
      <c r="F41" s="35" t="s">
        <v>143</v>
      </c>
      <c r="G41" s="39">
        <v>147552</v>
      </c>
      <c r="H41" s="30">
        <f t="shared" si="0"/>
        <v>0.68132452679640054</v>
      </c>
      <c r="I41" s="31">
        <v>216566.39999999999</v>
      </c>
      <c r="J41" s="26"/>
      <c r="K41" s="26"/>
      <c r="L41" s="26"/>
      <c r="M41" s="26"/>
    </row>
    <row r="42" spans="1:15" ht="15.75">
      <c r="E42" s="27">
        <v>8</v>
      </c>
      <c r="F42" s="35" t="s">
        <v>56</v>
      </c>
      <c r="G42" s="39">
        <v>2784435.06</v>
      </c>
      <c r="H42" s="30">
        <f t="shared" si="0"/>
        <v>12.857188649762845</v>
      </c>
      <c r="I42" s="31">
        <v>216566.39999999999</v>
      </c>
      <c r="J42" s="26"/>
      <c r="K42" s="26"/>
      <c r="L42" s="26"/>
      <c r="M42" s="26"/>
    </row>
    <row r="43" spans="1:15" ht="31.5">
      <c r="E43" s="27">
        <v>9</v>
      </c>
      <c r="F43" s="35" t="s">
        <v>148</v>
      </c>
      <c r="G43" s="44">
        <v>6820361.7199999997</v>
      </c>
      <c r="H43" s="30">
        <f t="shared" si="0"/>
        <v>31.49316662233846</v>
      </c>
      <c r="I43" s="31">
        <v>216566.39999999999</v>
      </c>
      <c r="J43" s="26"/>
      <c r="K43" s="26"/>
      <c r="L43" s="26"/>
      <c r="M43" s="26"/>
    </row>
    <row r="44" spans="1:15" ht="15.75">
      <c r="E44" s="27">
        <v>10</v>
      </c>
      <c r="F44" s="35" t="s">
        <v>149</v>
      </c>
      <c r="G44" s="39">
        <f>7544835.21-6820362</f>
        <v>724473.21</v>
      </c>
      <c r="H44" s="30">
        <f t="shared" si="0"/>
        <v>3.34527059599273</v>
      </c>
      <c r="I44" s="31">
        <v>216566.39999999999</v>
      </c>
      <c r="J44" s="26"/>
      <c r="K44" s="26"/>
      <c r="L44" s="26"/>
      <c r="M44" s="26"/>
    </row>
    <row r="45" spans="1:15" ht="15.75">
      <c r="E45" s="27">
        <v>11</v>
      </c>
      <c r="F45" s="35" t="s">
        <v>142</v>
      </c>
      <c r="G45" s="39">
        <f>375027.51+482327.94+77593</f>
        <v>934948.45</v>
      </c>
      <c r="H45" s="30">
        <f t="shared" si="0"/>
        <v>4.3171445339627939</v>
      </c>
      <c r="I45" s="31">
        <v>216566.39999999999</v>
      </c>
      <c r="J45" s="26"/>
      <c r="K45" s="26"/>
      <c r="L45" s="26"/>
      <c r="M45" s="26"/>
    </row>
    <row r="46" spans="1:15" ht="15.75">
      <c r="E46" s="27">
        <v>12</v>
      </c>
      <c r="F46" s="35" t="s">
        <v>151</v>
      </c>
      <c r="G46" s="39">
        <f>286642.05+72936.24</f>
        <v>359578.29</v>
      </c>
      <c r="H46" s="30">
        <f t="shared" si="0"/>
        <v>1.6603604714304712</v>
      </c>
      <c r="I46" s="31">
        <v>216566.39999999999</v>
      </c>
      <c r="J46" s="26"/>
      <c r="K46" s="26"/>
      <c r="L46" s="26"/>
      <c r="M46" s="26"/>
    </row>
    <row r="47" spans="1:15" ht="15.75">
      <c r="E47" s="27">
        <v>13</v>
      </c>
      <c r="F47" s="35" t="s">
        <v>57</v>
      </c>
      <c r="G47" s="39">
        <f>16812194-19000</f>
        <v>16793194</v>
      </c>
      <c r="H47" s="30">
        <f t="shared" si="0"/>
        <v>77.5429337145559</v>
      </c>
      <c r="I47" s="31">
        <v>216566.39999999999</v>
      </c>
      <c r="J47" s="26"/>
      <c r="K47" s="26"/>
      <c r="L47" s="26"/>
      <c r="M47" s="26"/>
    </row>
    <row r="48" spans="1:15" ht="15.75">
      <c r="E48" s="27">
        <v>14</v>
      </c>
      <c r="F48" s="35" t="s">
        <v>139</v>
      </c>
      <c r="G48" s="39">
        <f>G47*20.2%</f>
        <v>3392225.1879999996</v>
      </c>
      <c r="H48" s="30">
        <f t="shared" si="0"/>
        <v>15.663672610340292</v>
      </c>
      <c r="I48" s="31">
        <v>216566.39999999999</v>
      </c>
      <c r="J48" s="26"/>
      <c r="K48" s="26"/>
      <c r="L48" s="26"/>
      <c r="M48" s="26"/>
    </row>
    <row r="49" spans="5:13" ht="15.75">
      <c r="E49" s="27">
        <v>15</v>
      </c>
      <c r="F49" s="35" t="s">
        <v>140</v>
      </c>
      <c r="G49" s="39">
        <f>486000+5397.6</f>
        <v>491397.6</v>
      </c>
      <c r="H49" s="30">
        <f t="shared" si="0"/>
        <v>2.2690389644931068</v>
      </c>
      <c r="I49" s="31">
        <v>216566.39999999999</v>
      </c>
      <c r="J49" s="26"/>
      <c r="K49" s="26"/>
      <c r="L49" s="26"/>
      <c r="M49" s="26"/>
    </row>
    <row r="50" spans="5:13" ht="15.75">
      <c r="E50" s="27">
        <v>16</v>
      </c>
      <c r="F50" s="36" t="s">
        <v>220</v>
      </c>
      <c r="G50" s="40">
        <f>240000+88928+80080.67+12650+19900+107464.5+53265.74+5281</f>
        <v>607569.90999999992</v>
      </c>
      <c r="H50" s="30">
        <f t="shared" si="0"/>
        <v>2.8054670992360768</v>
      </c>
      <c r="I50" s="31">
        <v>216566.39999999999</v>
      </c>
      <c r="J50" s="26"/>
      <c r="K50" s="26"/>
      <c r="L50" s="26"/>
      <c r="M50" s="26"/>
    </row>
    <row r="51" spans="5:13" ht="15.75">
      <c r="E51" s="26"/>
      <c r="F51" s="26"/>
      <c r="G51" s="26"/>
      <c r="H51" s="26"/>
      <c r="I51" s="26"/>
      <c r="J51" s="26"/>
      <c r="K51" s="26"/>
      <c r="L51" s="26"/>
      <c r="M51" s="26"/>
    </row>
    <row r="52" spans="5:13" ht="15.75">
      <c r="E52" s="26"/>
      <c r="F52" s="23" t="s">
        <v>74</v>
      </c>
      <c r="G52" s="32">
        <f>SUM(G35:G51)</f>
        <v>37965741.617999993</v>
      </c>
      <c r="H52" s="33">
        <f>SUM(H34:H51)</f>
        <v>175.30762675096412</v>
      </c>
      <c r="I52" s="25"/>
      <c r="J52" s="26"/>
      <c r="K52" s="26"/>
      <c r="L52" s="26"/>
      <c r="M52" s="26"/>
    </row>
    <row r="53" spans="5:13" ht="15.75">
      <c r="E53" s="26"/>
      <c r="F53" s="26"/>
      <c r="G53" s="26"/>
      <c r="H53" s="26"/>
      <c r="I53" s="26"/>
      <c r="J53" s="26"/>
      <c r="K53" s="26"/>
      <c r="L53" s="26"/>
      <c r="M53" s="26"/>
    </row>
    <row r="55" spans="5:13">
      <c r="F55" s="20"/>
      <c r="G55" s="20"/>
      <c r="H55" s="20"/>
      <c r="I55" s="20"/>
      <c r="J55" s="20"/>
      <c r="K55" s="20"/>
      <c r="L55" s="20"/>
    </row>
    <row r="56" spans="5:13">
      <c r="F56" s="20"/>
      <c r="G56" s="20"/>
      <c r="H56" s="20"/>
      <c r="I56" s="20"/>
      <c r="J56" s="20"/>
      <c r="K56" s="20"/>
      <c r="L56" s="20"/>
    </row>
    <row r="57" spans="5:13">
      <c r="E57" s="20"/>
      <c r="F57" s="20"/>
      <c r="G57" s="20"/>
      <c r="H57" s="20"/>
      <c r="I57" s="20"/>
      <c r="J57" s="20"/>
      <c r="K57" s="20"/>
      <c r="L57" s="20"/>
    </row>
    <row r="58" spans="5:13">
      <c r="E58" s="20"/>
      <c r="F58" s="20"/>
      <c r="G58" s="20"/>
      <c r="H58" s="20"/>
      <c r="I58" s="20"/>
      <c r="J58" s="20"/>
      <c r="K58" s="20"/>
      <c r="L58" s="20"/>
    </row>
    <row r="59" spans="5:13">
      <c r="E59" s="20"/>
      <c r="F59" s="20"/>
      <c r="G59" s="20"/>
      <c r="H59" s="20"/>
      <c r="I59" s="20"/>
      <c r="J59" s="20"/>
      <c r="K59" s="20"/>
      <c r="L59" s="20"/>
    </row>
    <row r="60" spans="5:13">
      <c r="E60" s="20"/>
      <c r="F60" s="20"/>
      <c r="G60" s="20"/>
      <c r="H60" s="20"/>
      <c r="I60" s="20"/>
      <c r="J60" s="20"/>
      <c r="K60" s="20"/>
      <c r="L60" s="20"/>
    </row>
    <row r="61" spans="5:13">
      <c r="E61" s="20"/>
      <c r="F61" s="20"/>
      <c r="G61" s="20"/>
      <c r="H61" s="20"/>
      <c r="I61" s="20"/>
      <c r="J61" s="20"/>
      <c r="K61" s="20"/>
      <c r="L61" s="20"/>
    </row>
    <row r="62" spans="5:13">
      <c r="E62" s="20"/>
      <c r="F62" s="20"/>
      <c r="G62" s="20"/>
      <c r="H62" s="20"/>
      <c r="I62" s="20"/>
      <c r="J62" s="20"/>
      <c r="K62" s="20"/>
      <c r="L62" s="20"/>
    </row>
    <row r="63" spans="5:13">
      <c r="E63" s="20"/>
      <c r="F63" s="20"/>
      <c r="G63" s="20"/>
      <c r="H63" s="20"/>
      <c r="I63" s="20"/>
      <c r="J63" s="20"/>
      <c r="K63" s="20"/>
      <c r="L63" s="20"/>
    </row>
    <row r="64" spans="5:13">
      <c r="E64" s="20"/>
      <c r="F64" s="20"/>
      <c r="G64" s="20"/>
      <c r="H64" s="20"/>
      <c r="I64" s="20"/>
      <c r="J64" s="20"/>
      <c r="K64" s="20"/>
      <c r="L64" s="20"/>
    </row>
    <row r="65" spans="5:17">
      <c r="E65" s="20"/>
      <c r="F65" s="20"/>
      <c r="G65" s="20"/>
      <c r="H65" s="20"/>
      <c r="I65" s="20"/>
      <c r="J65" s="20"/>
      <c r="K65" s="20"/>
      <c r="L65" s="20"/>
    </row>
    <row r="66" spans="5:17">
      <c r="E66" s="20"/>
      <c r="F66" s="20"/>
      <c r="G66" s="20"/>
      <c r="H66" s="20"/>
      <c r="I66" s="20"/>
      <c r="J66" s="20"/>
      <c r="K66" s="20"/>
      <c r="L66" s="20"/>
      <c r="M66" s="20"/>
      <c r="N66" s="20"/>
      <c r="O66" s="20"/>
      <c r="P66" s="20"/>
      <c r="Q66" s="20"/>
    </row>
    <row r="67" spans="5:17">
      <c r="F67" s="157"/>
      <c r="G67" s="157"/>
      <c r="H67" s="157"/>
      <c r="I67" s="157"/>
      <c r="J67" s="157"/>
      <c r="K67" s="157"/>
      <c r="L67" s="157"/>
      <c r="M67" s="157"/>
      <c r="N67" s="157"/>
      <c r="O67" s="157"/>
      <c r="P67" s="157"/>
      <c r="Q67" s="157"/>
    </row>
    <row r="69" spans="5:17">
      <c r="G69" s="20"/>
      <c r="H69" s="20"/>
      <c r="I69" s="20"/>
      <c r="J69" s="20"/>
      <c r="K69" s="20"/>
      <c r="L69" s="20"/>
    </row>
    <row r="70" spans="5:17">
      <c r="G70" s="20"/>
      <c r="H70" s="20"/>
      <c r="I70" s="20"/>
      <c r="J70" s="20"/>
      <c r="K70" s="20"/>
      <c r="L70" s="20"/>
    </row>
    <row r="73" spans="5:17">
      <c r="F73" s="20"/>
      <c r="G73" s="20"/>
      <c r="H73" s="20"/>
      <c r="I73" s="20"/>
      <c r="J73" s="20"/>
      <c r="K73" s="20"/>
      <c r="L73" s="20"/>
      <c r="M73" s="20"/>
      <c r="N73" s="20"/>
      <c r="O73" s="20"/>
      <c r="P73" s="20"/>
      <c r="Q73" s="20"/>
    </row>
    <row r="74" spans="5:17" ht="12.75" customHeight="1"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</row>
  </sheetData>
  <sheetProtection password="CC5F" sheet="1" objects="1" scenarios="1" selectLockedCells="1" selectUnlockedCells="1"/>
  <mergeCells count="1">
    <mergeCell ref="F67:Q67"/>
  </mergeCells>
  <phoneticPr fontId="5" type="noConversion"/>
  <pageMargins left="0.75" right="0.75" top="1" bottom="1" header="0.5" footer="0.5"/>
  <pageSetup paperSize="9" scale="71" orientation="portrait" verticalDpi="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Лист2" enableFormatConditionsCalculation="0">
    <tabColor indexed="24"/>
  </sheetPr>
  <dimension ref="A1:N51"/>
  <sheetViews>
    <sheetView topLeftCell="A55" workbookViewId="0">
      <selection activeCell="B55" sqref="B55"/>
    </sheetView>
  </sheetViews>
  <sheetFormatPr defaultRowHeight="12.75"/>
  <cols>
    <col min="1" max="1" width="4.28515625" customWidth="1"/>
    <col min="2" max="2" width="15.42578125" customWidth="1"/>
    <col min="3" max="3" width="11.140625" customWidth="1"/>
    <col min="4" max="4" width="12.5703125" customWidth="1"/>
    <col min="8" max="8" width="17.28515625" customWidth="1"/>
    <col min="9" max="9" width="10" customWidth="1"/>
    <col min="10" max="10" width="11.5703125" customWidth="1"/>
  </cols>
  <sheetData>
    <row r="1" spans="1:11" ht="40.5" customHeight="1">
      <c r="F1" s="2" t="s">
        <v>49</v>
      </c>
      <c r="G1" s="4" t="s">
        <v>73</v>
      </c>
      <c r="H1" s="3" t="s">
        <v>136</v>
      </c>
      <c r="I1" s="3" t="s">
        <v>137</v>
      </c>
      <c r="J1" s="6" t="s">
        <v>138</v>
      </c>
    </row>
    <row r="2" spans="1:11">
      <c r="A2" s="2"/>
      <c r="B2" s="2" t="s">
        <v>79</v>
      </c>
      <c r="C2" s="15">
        <v>3720</v>
      </c>
      <c r="F2" s="9">
        <v>1</v>
      </c>
      <c r="G2" s="7" t="s">
        <v>150</v>
      </c>
      <c r="H2" s="2">
        <v>291264</v>
      </c>
      <c r="I2" s="8">
        <f>H2/J2</f>
        <v>5.2782830792449218</v>
      </c>
      <c r="J2" s="11">
        <v>55181.58</v>
      </c>
    </row>
    <row r="3" spans="1:11">
      <c r="A3" s="2"/>
      <c r="B3" s="2" t="s">
        <v>87</v>
      </c>
      <c r="C3" s="15">
        <v>9143.15</v>
      </c>
    </row>
    <row r="4" spans="1:11">
      <c r="A4" s="2"/>
      <c r="B4" s="2" t="s">
        <v>89</v>
      </c>
      <c r="C4" s="15">
        <v>5385.4</v>
      </c>
    </row>
    <row r="5" spans="1:11">
      <c r="A5" s="2"/>
      <c r="B5" s="2" t="s">
        <v>94</v>
      </c>
      <c r="C5" s="15">
        <v>4408.2</v>
      </c>
    </row>
    <row r="6" spans="1:11">
      <c r="A6" s="2"/>
      <c r="B6" s="2" t="s">
        <v>97</v>
      </c>
      <c r="C6" s="15">
        <v>8664.9</v>
      </c>
    </row>
    <row r="7" spans="1:11">
      <c r="A7" s="2"/>
      <c r="B7" s="2" t="s">
        <v>100</v>
      </c>
      <c r="C7" s="15">
        <v>4233.8999999999996</v>
      </c>
    </row>
    <row r="8" spans="1:11">
      <c r="A8" s="2"/>
      <c r="B8" s="2" t="s">
        <v>102</v>
      </c>
      <c r="C8" s="15">
        <v>3636.5</v>
      </c>
    </row>
    <row r="9" spans="1:11">
      <c r="A9" s="2"/>
      <c r="B9" s="2" t="s">
        <v>103</v>
      </c>
      <c r="C9" s="15">
        <v>5513.4</v>
      </c>
    </row>
    <row r="10" spans="1:11">
      <c r="A10" s="2"/>
      <c r="B10" s="2" t="s">
        <v>105</v>
      </c>
      <c r="C10" s="15">
        <v>4220.18</v>
      </c>
    </row>
    <row r="11" spans="1:11">
      <c r="A11" s="2"/>
      <c r="B11" s="2" t="s">
        <v>75</v>
      </c>
      <c r="C11" s="15">
        <v>6255.95</v>
      </c>
    </row>
    <row r="12" spans="1:11">
      <c r="A12" s="2"/>
      <c r="B12" s="2"/>
      <c r="C12" s="16">
        <f>SUM(C2:C11)</f>
        <v>55181.58</v>
      </c>
      <c r="D12" s="13"/>
      <c r="E12" s="13"/>
    </row>
    <row r="13" spans="1:11">
      <c r="A13" s="2"/>
      <c r="B13" s="2"/>
      <c r="C13" s="2"/>
      <c r="D13" s="13"/>
      <c r="E13" s="13"/>
    </row>
    <row r="14" spans="1:11">
      <c r="A14" s="2"/>
      <c r="B14" s="2"/>
      <c r="C14" s="2"/>
      <c r="D14" s="13"/>
      <c r="E14" s="13"/>
    </row>
    <row r="15" spans="1:11">
      <c r="C15" s="12"/>
    </row>
    <row r="16" spans="1:11" ht="25.5">
      <c r="G16" s="2" t="s">
        <v>49</v>
      </c>
      <c r="H16" s="4" t="s">
        <v>73</v>
      </c>
      <c r="I16" s="3" t="s">
        <v>136</v>
      </c>
      <c r="J16" s="3" t="s">
        <v>137</v>
      </c>
      <c r="K16" s="6" t="s">
        <v>138</v>
      </c>
    </row>
    <row r="17" spans="1:14">
      <c r="G17" s="9">
        <v>1</v>
      </c>
      <c r="H17" s="7" t="s">
        <v>154</v>
      </c>
      <c r="I17" s="2">
        <v>454406</v>
      </c>
      <c r="J17" s="8">
        <f>I17/K17</f>
        <v>21.264729280733775</v>
      </c>
      <c r="K17" s="11">
        <v>21369</v>
      </c>
    </row>
    <row r="18" spans="1:14">
      <c r="G18" s="9"/>
      <c r="H18" s="7" t="s">
        <v>155</v>
      </c>
      <c r="I18" s="2">
        <v>91790</v>
      </c>
      <c r="J18" s="8">
        <f>I18/K18</f>
        <v>4.295474753147082</v>
      </c>
      <c r="K18" s="11">
        <v>21369</v>
      </c>
    </row>
    <row r="19" spans="1:14" ht="38.25">
      <c r="A19" s="1" t="s">
        <v>49</v>
      </c>
      <c r="B19" s="3" t="s">
        <v>62</v>
      </c>
      <c r="C19" s="3" t="s">
        <v>63</v>
      </c>
    </row>
    <row r="20" spans="1:14">
      <c r="A20" s="2">
        <v>1</v>
      </c>
      <c r="B20" s="2" t="s">
        <v>76</v>
      </c>
      <c r="C20" s="15">
        <v>3696.6</v>
      </c>
      <c r="D20" s="10">
        <f>C20*13.55*12</f>
        <v>601067.16</v>
      </c>
      <c r="E20" s="10">
        <f>C20*1.32*12</f>
        <v>58554.144</v>
      </c>
    </row>
    <row r="21" spans="1:14">
      <c r="A21" s="2">
        <v>2</v>
      </c>
      <c r="B21" s="2" t="s">
        <v>77</v>
      </c>
      <c r="C21" s="15">
        <v>7319.94</v>
      </c>
      <c r="D21" s="10">
        <f t="shared" ref="D21:D50" si="0">C21*13.55*12</f>
        <v>1190222.2439999999</v>
      </c>
      <c r="E21" s="10">
        <f t="shared" ref="E21:E50" si="1">C21*1.32*12</f>
        <v>115947.84959999999</v>
      </c>
    </row>
    <row r="22" spans="1:14">
      <c r="A22" s="2">
        <v>3</v>
      </c>
      <c r="B22" s="2" t="s">
        <v>78</v>
      </c>
      <c r="C22" s="15">
        <v>3698.5</v>
      </c>
      <c r="D22" s="10">
        <f t="shared" si="0"/>
        <v>601376.10000000009</v>
      </c>
      <c r="E22" s="10">
        <f t="shared" si="1"/>
        <v>58584.240000000005</v>
      </c>
    </row>
    <row r="23" spans="1:14">
      <c r="A23" s="2">
        <v>4</v>
      </c>
      <c r="B23" s="2" t="s">
        <v>79</v>
      </c>
      <c r="C23" s="15">
        <v>3720</v>
      </c>
      <c r="D23" s="10">
        <f t="shared" si="0"/>
        <v>604872</v>
      </c>
      <c r="E23" s="10">
        <f t="shared" si="1"/>
        <v>58924.800000000003</v>
      </c>
    </row>
    <row r="24" spans="1:14">
      <c r="A24" s="2">
        <v>5</v>
      </c>
      <c r="B24" s="2" t="s">
        <v>80</v>
      </c>
      <c r="C24" s="15">
        <v>10961.46</v>
      </c>
      <c r="D24" s="10">
        <f>C24*13.55*12</f>
        <v>1782333.3959999999</v>
      </c>
      <c r="E24" s="10">
        <f t="shared" si="1"/>
        <v>173629.52639999997</v>
      </c>
    </row>
    <row r="25" spans="1:14">
      <c r="A25" s="2">
        <v>6</v>
      </c>
      <c r="B25" s="2" t="s">
        <v>81</v>
      </c>
      <c r="C25" s="15">
        <v>10949.9</v>
      </c>
      <c r="D25" s="10">
        <f t="shared" si="0"/>
        <v>1780453.7399999998</v>
      </c>
      <c r="E25" s="10">
        <f t="shared" si="1"/>
        <v>173446.416</v>
      </c>
    </row>
    <row r="26" spans="1:14">
      <c r="A26" s="2">
        <v>7</v>
      </c>
      <c r="B26" s="2" t="s">
        <v>82</v>
      </c>
      <c r="C26" s="15">
        <v>4183.5</v>
      </c>
      <c r="D26" s="10">
        <f>C26*13.55*12</f>
        <v>680237.10000000009</v>
      </c>
      <c r="E26" s="10">
        <f t="shared" si="1"/>
        <v>66266.64</v>
      </c>
    </row>
    <row r="27" spans="1:14">
      <c r="A27" s="2">
        <v>8</v>
      </c>
      <c r="B27" s="2" t="s">
        <v>83</v>
      </c>
      <c r="C27" s="15">
        <v>7333.4</v>
      </c>
      <c r="D27" s="10">
        <f t="shared" si="0"/>
        <v>1192410.8400000001</v>
      </c>
      <c r="E27" s="10">
        <f t="shared" si="1"/>
        <v>116161.056</v>
      </c>
      <c r="I27" s="20"/>
      <c r="J27" s="20"/>
      <c r="K27" s="20"/>
      <c r="L27" s="20"/>
      <c r="M27" s="20"/>
      <c r="N27" s="20"/>
    </row>
    <row r="28" spans="1:14">
      <c r="A28" s="2">
        <v>9</v>
      </c>
      <c r="B28" s="2" t="s">
        <v>84</v>
      </c>
      <c r="C28" s="15">
        <v>5445.19</v>
      </c>
      <c r="D28" s="10">
        <f t="shared" si="0"/>
        <v>885387.89400000009</v>
      </c>
      <c r="E28" s="10">
        <f t="shared" si="1"/>
        <v>86251.809599999993</v>
      </c>
      <c r="I28" s="20"/>
      <c r="J28" s="20"/>
      <c r="K28" s="20"/>
      <c r="L28" s="20"/>
      <c r="M28" s="20"/>
      <c r="N28" s="20"/>
    </row>
    <row r="29" spans="1:14">
      <c r="A29" s="2">
        <v>10</v>
      </c>
      <c r="B29" s="2" t="s">
        <v>85</v>
      </c>
      <c r="C29" s="15">
        <v>10802.7</v>
      </c>
      <c r="D29" s="10">
        <f t="shared" si="0"/>
        <v>1756519.0200000003</v>
      </c>
      <c r="E29" s="10">
        <f t="shared" si="1"/>
        <v>171114.76800000004</v>
      </c>
      <c r="I29" s="20"/>
      <c r="J29" s="20"/>
      <c r="K29" s="20"/>
      <c r="L29" s="20"/>
      <c r="M29" s="20"/>
      <c r="N29" s="20"/>
    </row>
    <row r="30" spans="1:14">
      <c r="A30" s="2">
        <v>11</v>
      </c>
      <c r="B30" s="2" t="s">
        <v>86</v>
      </c>
      <c r="C30" s="15">
        <v>9239.51</v>
      </c>
      <c r="D30" s="10">
        <f t="shared" si="0"/>
        <v>1502344.3260000001</v>
      </c>
      <c r="E30" s="10">
        <f t="shared" si="1"/>
        <v>146353.83840000001</v>
      </c>
      <c r="I30" s="20"/>
      <c r="J30" s="20"/>
      <c r="K30" s="20"/>
      <c r="L30" s="20"/>
      <c r="M30" s="20"/>
      <c r="N30" s="20"/>
    </row>
    <row r="31" spans="1:14">
      <c r="A31" s="2">
        <v>12</v>
      </c>
      <c r="B31" s="2" t="s">
        <v>87</v>
      </c>
      <c r="C31" s="15">
        <v>9143.15</v>
      </c>
      <c r="D31" s="10">
        <f t="shared" si="0"/>
        <v>1486676.19</v>
      </c>
      <c r="E31" s="10">
        <f t="shared" si="1"/>
        <v>144827.49600000001</v>
      </c>
      <c r="I31" s="20"/>
      <c r="J31" s="20"/>
      <c r="K31" s="20"/>
      <c r="L31" s="20"/>
      <c r="M31" s="20"/>
      <c r="N31" s="20"/>
    </row>
    <row r="32" spans="1:14">
      <c r="A32" s="2">
        <v>13</v>
      </c>
      <c r="B32" s="2" t="s">
        <v>88</v>
      </c>
      <c r="C32" s="15">
        <v>16477.78</v>
      </c>
      <c r="D32" s="10">
        <f t="shared" si="0"/>
        <v>2679287.0279999999</v>
      </c>
      <c r="E32" s="10">
        <f t="shared" si="1"/>
        <v>261008.03520000001</v>
      </c>
      <c r="I32" s="20"/>
      <c r="J32" s="20"/>
      <c r="K32" s="20"/>
      <c r="L32" s="20"/>
      <c r="M32" s="20"/>
      <c r="N32" s="20"/>
    </row>
    <row r="33" spans="1:14">
      <c r="A33" s="2">
        <v>14</v>
      </c>
      <c r="B33" s="2" t="s">
        <v>89</v>
      </c>
      <c r="C33" s="15">
        <v>5385.4</v>
      </c>
      <c r="D33" s="10">
        <f t="shared" si="0"/>
        <v>875666.04</v>
      </c>
      <c r="E33" s="10">
        <f t="shared" si="1"/>
        <v>85304.736000000004</v>
      </c>
      <c r="H33" s="20"/>
      <c r="I33" s="20"/>
      <c r="J33" s="20"/>
      <c r="K33" s="20"/>
      <c r="L33" s="20"/>
      <c r="M33" s="20"/>
      <c r="N33" s="20"/>
    </row>
    <row r="34" spans="1:14">
      <c r="A34" s="2">
        <v>15</v>
      </c>
      <c r="B34" s="2" t="s">
        <v>90</v>
      </c>
      <c r="C34" s="15">
        <v>9294.9</v>
      </c>
      <c r="D34" s="10">
        <f t="shared" si="0"/>
        <v>1511350.74</v>
      </c>
      <c r="E34" s="10">
        <f t="shared" si="1"/>
        <v>147231.21600000001</v>
      </c>
      <c r="I34" s="20"/>
      <c r="J34" s="20"/>
      <c r="K34" s="20"/>
      <c r="L34" s="20"/>
      <c r="M34" s="20"/>
      <c r="N34" s="20"/>
    </row>
    <row r="35" spans="1:14">
      <c r="A35" s="2">
        <v>16</v>
      </c>
      <c r="B35" s="2" t="s">
        <v>91</v>
      </c>
      <c r="C35" s="15">
        <v>5493.8</v>
      </c>
      <c r="D35" s="10">
        <f t="shared" si="0"/>
        <v>893291.88000000012</v>
      </c>
      <c r="E35" s="10">
        <f t="shared" si="1"/>
        <v>87021.792000000016</v>
      </c>
      <c r="I35" s="20"/>
      <c r="J35" s="20"/>
      <c r="K35" s="20"/>
      <c r="L35" s="20"/>
      <c r="M35" s="20"/>
      <c r="N35" s="20"/>
    </row>
    <row r="36" spans="1:14">
      <c r="A36" s="2">
        <v>17</v>
      </c>
      <c r="B36" s="2" t="s">
        <v>92</v>
      </c>
      <c r="C36" s="15">
        <v>11296.7</v>
      </c>
      <c r="D36" s="10">
        <f t="shared" si="0"/>
        <v>1836843.42</v>
      </c>
      <c r="E36" s="10">
        <f t="shared" si="1"/>
        <v>178939.72800000003</v>
      </c>
      <c r="I36" s="20"/>
      <c r="J36" s="20"/>
      <c r="K36" s="20"/>
      <c r="L36" s="20"/>
      <c r="M36" s="20"/>
      <c r="N36" s="20"/>
    </row>
    <row r="37" spans="1:14">
      <c r="A37" s="2">
        <v>18</v>
      </c>
      <c r="B37" s="2" t="s">
        <v>93</v>
      </c>
      <c r="C37" s="15">
        <v>9235.7000000000007</v>
      </c>
      <c r="D37" s="10">
        <f t="shared" si="0"/>
        <v>1501724.8200000003</v>
      </c>
      <c r="E37" s="10">
        <f t="shared" si="1"/>
        <v>146293.48800000001</v>
      </c>
    </row>
    <row r="38" spans="1:14">
      <c r="A38" s="2">
        <v>19</v>
      </c>
      <c r="B38" s="2" t="s">
        <v>94</v>
      </c>
      <c r="C38" s="15">
        <v>4408.2</v>
      </c>
      <c r="D38" s="10">
        <f t="shared" si="0"/>
        <v>716773.32000000007</v>
      </c>
      <c r="E38" s="10">
        <f t="shared" si="1"/>
        <v>69825.887999999992</v>
      </c>
    </row>
    <row r="39" spans="1:14">
      <c r="A39" s="2">
        <v>20</v>
      </c>
      <c r="B39" s="2" t="s">
        <v>95</v>
      </c>
      <c r="C39" s="15">
        <v>4463.8</v>
      </c>
      <c r="D39" s="10">
        <f t="shared" si="0"/>
        <v>725813.88000000012</v>
      </c>
      <c r="E39" s="10">
        <f t="shared" si="1"/>
        <v>70706.592000000004</v>
      </c>
    </row>
    <row r="40" spans="1:14">
      <c r="A40" s="2">
        <v>21</v>
      </c>
      <c r="B40" s="2" t="s">
        <v>96</v>
      </c>
      <c r="C40" s="15">
        <v>6168.9</v>
      </c>
      <c r="D40" s="10">
        <f t="shared" si="0"/>
        <v>1003063.14</v>
      </c>
      <c r="E40" s="10">
        <f t="shared" si="1"/>
        <v>97715.376000000004</v>
      </c>
    </row>
    <row r="41" spans="1:14">
      <c r="A41" s="2">
        <v>22</v>
      </c>
      <c r="B41" s="2" t="s">
        <v>97</v>
      </c>
      <c r="C41" s="15">
        <v>8664.9</v>
      </c>
      <c r="D41" s="10">
        <f>C41*15.8*12</f>
        <v>1642865.04</v>
      </c>
      <c r="E41" s="10">
        <f>C41*1.62*12</f>
        <v>168445.65600000002</v>
      </c>
    </row>
    <row r="42" spans="1:14">
      <c r="A42" s="2">
        <v>23</v>
      </c>
      <c r="B42" s="2" t="s">
        <v>98</v>
      </c>
      <c r="C42" s="15">
        <v>6313.24</v>
      </c>
      <c r="D42" s="10">
        <f t="shared" si="0"/>
        <v>1026532.824</v>
      </c>
      <c r="E42" s="10">
        <f t="shared" si="1"/>
        <v>100001.7216</v>
      </c>
    </row>
    <row r="43" spans="1:14">
      <c r="A43" s="2">
        <v>24</v>
      </c>
      <c r="B43" s="2" t="s">
        <v>99</v>
      </c>
      <c r="C43" s="15">
        <v>6413.8</v>
      </c>
      <c r="D43" s="10">
        <f>C43*15.8*12</f>
        <v>1216056.48</v>
      </c>
      <c r="E43" s="10">
        <f>C43*1.62*12</f>
        <v>124684.27200000003</v>
      </c>
    </row>
    <row r="44" spans="1:14">
      <c r="A44" s="2">
        <v>25</v>
      </c>
      <c r="B44" s="2" t="s">
        <v>100</v>
      </c>
      <c r="C44" s="15">
        <v>4233.8999999999996</v>
      </c>
      <c r="D44" s="10">
        <f t="shared" si="0"/>
        <v>688432.14</v>
      </c>
      <c r="E44" s="10">
        <f t="shared" si="1"/>
        <v>67064.975999999995</v>
      </c>
    </row>
    <row r="45" spans="1:14">
      <c r="A45" s="2">
        <v>26</v>
      </c>
      <c r="B45" s="2" t="s">
        <v>101</v>
      </c>
      <c r="C45" s="15">
        <v>6293.5</v>
      </c>
      <c r="D45" s="10">
        <f>C45*15.8*12</f>
        <v>1193247.6000000001</v>
      </c>
      <c r="E45" s="10">
        <f>C45*1.62*12</f>
        <v>122345.64000000001</v>
      </c>
    </row>
    <row r="46" spans="1:14">
      <c r="A46" s="2">
        <v>27</v>
      </c>
      <c r="B46" s="2" t="s">
        <v>102</v>
      </c>
      <c r="C46" s="15">
        <v>3636.5</v>
      </c>
      <c r="D46" s="10">
        <f t="shared" si="0"/>
        <v>591294.9</v>
      </c>
      <c r="E46" s="10">
        <f t="shared" si="1"/>
        <v>57602.16</v>
      </c>
    </row>
    <row r="47" spans="1:14">
      <c r="A47" s="2">
        <v>28</v>
      </c>
      <c r="B47" s="2" t="s">
        <v>103</v>
      </c>
      <c r="C47" s="15">
        <v>5513.4</v>
      </c>
      <c r="D47" s="10">
        <f t="shared" si="0"/>
        <v>896478.83999999985</v>
      </c>
      <c r="E47" s="10">
        <f t="shared" si="1"/>
        <v>87332.255999999994</v>
      </c>
    </row>
    <row r="48" spans="1:14">
      <c r="A48" s="2">
        <v>29</v>
      </c>
      <c r="B48" s="2" t="s">
        <v>104</v>
      </c>
      <c r="C48" s="15">
        <v>6302</v>
      </c>
      <c r="D48" s="10">
        <f t="shared" si="0"/>
        <v>1024705.2000000001</v>
      </c>
      <c r="E48" s="10">
        <f t="shared" si="1"/>
        <v>99823.680000000022</v>
      </c>
    </row>
    <row r="49" spans="1:5">
      <c r="A49" s="2">
        <v>30</v>
      </c>
      <c r="B49" s="2" t="s">
        <v>105</v>
      </c>
      <c r="C49" s="15">
        <v>4220.18</v>
      </c>
      <c r="D49" s="10">
        <f t="shared" si="0"/>
        <v>686201.26800000004</v>
      </c>
      <c r="E49" s="10">
        <f t="shared" si="1"/>
        <v>66847.651200000008</v>
      </c>
    </row>
    <row r="50" spans="1:5">
      <c r="A50" s="2">
        <v>31</v>
      </c>
      <c r="B50" s="2" t="s">
        <v>75</v>
      </c>
      <c r="C50" s="15">
        <v>6255.95</v>
      </c>
      <c r="D50" s="10">
        <f t="shared" si="0"/>
        <v>1017217.47</v>
      </c>
      <c r="E50" s="10">
        <f t="shared" si="1"/>
        <v>99094.247999999992</v>
      </c>
    </row>
    <row r="51" spans="1:5">
      <c r="A51" s="2"/>
      <c r="B51" s="5" t="s">
        <v>58</v>
      </c>
      <c r="C51" s="16">
        <f>SUM(C20:C50)</f>
        <v>216566.39999999997</v>
      </c>
      <c r="D51" s="2"/>
      <c r="E51" s="2"/>
    </row>
  </sheetData>
  <sheetProtection password="CC5F" sheet="1" objects="1" scenarios="1" selectLockedCells="1" selectUnlockedCells="1"/>
  <phoneticPr fontId="5" type="noConversion"/>
  <pageMargins left="0.75" right="0.75" top="1" bottom="1" header="0.5" footer="0.5"/>
  <pageSetup paperSize="9" orientation="portrait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Лист9"/>
  <dimension ref="A1:P99"/>
  <sheetViews>
    <sheetView tabSelected="1" view="pageBreakPreview" zoomScaleSheetLayoutView="100" workbookViewId="0">
      <selection activeCell="L63" sqref="L63"/>
    </sheetView>
  </sheetViews>
  <sheetFormatPr defaultRowHeight="12.75"/>
  <cols>
    <col min="1" max="1" width="12.7109375" style="120" customWidth="1"/>
    <col min="2" max="2" width="12.42578125" style="120" customWidth="1"/>
    <col min="3" max="3" width="13.7109375" style="120" customWidth="1"/>
    <col min="4" max="4" width="11.28515625" style="120" customWidth="1"/>
    <col min="5" max="5" width="15.5703125" style="120" customWidth="1"/>
    <col min="6" max="6" width="17" style="120" customWidth="1"/>
    <col min="7" max="7" width="19.140625" style="120" customWidth="1"/>
    <col min="8" max="8" width="14.140625" style="120" bestFit="1" customWidth="1"/>
    <col min="9" max="9" width="14.5703125" style="120" customWidth="1"/>
    <col min="10" max="10" width="7" style="120" customWidth="1"/>
    <col min="11" max="16384" width="9.140625" style="120"/>
  </cols>
  <sheetData>
    <row r="1" spans="1:16" ht="18">
      <c r="A1" s="212" t="s">
        <v>243</v>
      </c>
      <c r="B1" s="212"/>
      <c r="C1" s="212"/>
      <c r="D1" s="212"/>
      <c r="E1" s="212"/>
      <c r="F1" s="212"/>
      <c r="G1" s="212"/>
      <c r="H1" s="212"/>
      <c r="I1" s="119"/>
      <c r="J1" s="119"/>
      <c r="K1" s="119"/>
      <c r="L1" s="119"/>
      <c r="M1" s="119"/>
      <c r="N1" s="119"/>
      <c r="O1" s="119"/>
      <c r="P1" s="119"/>
    </row>
    <row r="2" spans="1:16" ht="18">
      <c r="A2" s="212" t="s">
        <v>176</v>
      </c>
      <c r="B2" s="212"/>
      <c r="C2" s="212"/>
      <c r="D2" s="212"/>
      <c r="E2" s="212"/>
      <c r="F2" s="212"/>
      <c r="G2" s="212"/>
      <c r="H2" s="212"/>
      <c r="I2" s="119"/>
      <c r="J2" s="119"/>
      <c r="K2" s="119"/>
      <c r="L2" s="119"/>
      <c r="M2" s="119"/>
      <c r="N2" s="119"/>
      <c r="O2" s="119"/>
      <c r="P2" s="119"/>
    </row>
    <row r="3" spans="1:16" ht="18">
      <c r="A3" s="213" t="s">
        <v>244</v>
      </c>
      <c r="B3" s="213"/>
      <c r="C3" s="213"/>
      <c r="D3" s="213"/>
      <c r="E3" s="213"/>
      <c r="F3" s="213"/>
      <c r="G3" s="213"/>
      <c r="H3" s="213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  <c r="M4" s="121"/>
      <c r="N4" s="121"/>
      <c r="O4" s="121"/>
      <c r="P4" s="121"/>
    </row>
    <row r="5" spans="1:16" s="56" customFormat="1" ht="14.25" customHeight="1">
      <c r="A5" s="53" t="s">
        <v>113</v>
      </c>
      <c r="B5" s="53"/>
      <c r="C5" s="53"/>
      <c r="D5" s="53"/>
      <c r="E5" s="210" t="s">
        <v>44</v>
      </c>
      <c r="F5" s="210"/>
      <c r="G5" s="210"/>
      <c r="H5" s="210"/>
      <c r="I5" s="54"/>
      <c r="J5" s="54"/>
    </row>
    <row r="6" spans="1:16" s="56" customFormat="1" ht="14.25">
      <c r="A6" s="53" t="s">
        <v>46</v>
      </c>
      <c r="B6" s="53"/>
      <c r="C6" s="53"/>
      <c r="D6" s="53"/>
      <c r="E6" s="210"/>
      <c r="F6" s="210"/>
      <c r="G6" s="210"/>
      <c r="H6" s="210"/>
      <c r="I6" s="54"/>
      <c r="J6" s="54"/>
    </row>
    <row r="7" spans="1:16" s="56" customFormat="1" ht="30" customHeight="1">
      <c r="A7" s="53" t="s">
        <v>203</v>
      </c>
      <c r="B7" s="53"/>
      <c r="C7" s="53"/>
      <c r="D7" s="53"/>
      <c r="E7" s="210"/>
      <c r="F7" s="210"/>
      <c r="G7" s="210"/>
      <c r="H7" s="210"/>
      <c r="I7" s="54"/>
      <c r="J7" s="54"/>
    </row>
    <row r="8" spans="1:16" s="56" customFormat="1" ht="14.25">
      <c r="A8" s="53" t="s">
        <v>202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47</v>
      </c>
      <c r="B9" s="53"/>
      <c r="C9" s="53"/>
      <c r="D9" s="53"/>
      <c r="E9" s="55" t="s">
        <v>162</v>
      </c>
      <c r="F9" s="54"/>
      <c r="G9" s="54"/>
      <c r="H9" s="54"/>
      <c r="I9" s="54"/>
      <c r="J9" s="54"/>
    </row>
    <row r="10" spans="1:16" s="56" customFormat="1" ht="14.25">
      <c r="A10" s="53" t="s">
        <v>48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114</v>
      </c>
      <c r="B11" s="53"/>
      <c r="C11" s="53"/>
      <c r="D11" s="53"/>
      <c r="E11" s="53" t="s">
        <v>183</v>
      </c>
      <c r="F11" s="53"/>
      <c r="G11" s="53" t="s">
        <v>257</v>
      </c>
      <c r="I11" s="53"/>
      <c r="J11" s="53"/>
    </row>
    <row r="12" spans="1:16" s="56" customFormat="1" ht="14.25">
      <c r="A12" s="53" t="s">
        <v>115</v>
      </c>
      <c r="B12" s="53"/>
      <c r="C12" s="53"/>
      <c r="D12" s="53"/>
      <c r="E12" s="53" t="s">
        <v>241</v>
      </c>
      <c r="F12" s="53"/>
      <c r="G12" s="53" t="s">
        <v>198</v>
      </c>
      <c r="I12" s="53"/>
      <c r="J12" s="53"/>
    </row>
    <row r="13" spans="1:16" s="56" customFormat="1" ht="14.25">
      <c r="A13" s="53" t="s">
        <v>135</v>
      </c>
      <c r="B13" s="53"/>
      <c r="C13" s="53"/>
      <c r="D13" s="53"/>
      <c r="E13" s="53" t="s">
        <v>242</v>
      </c>
      <c r="F13" s="53"/>
      <c r="G13" s="53" t="s">
        <v>221</v>
      </c>
      <c r="I13" s="53"/>
      <c r="J13" s="53"/>
    </row>
    <row r="14" spans="1:16" s="56" customFormat="1" ht="14.25">
      <c r="A14" s="53" t="s">
        <v>116</v>
      </c>
      <c r="B14" s="53"/>
      <c r="C14" s="53"/>
      <c r="D14" s="53"/>
      <c r="E14" s="53" t="s">
        <v>184</v>
      </c>
      <c r="F14" s="53"/>
      <c r="G14" s="53" t="s">
        <v>185</v>
      </c>
      <c r="I14" s="53"/>
      <c r="J14" s="53"/>
    </row>
    <row r="15" spans="1:16" s="56" customFormat="1" ht="14.25">
      <c r="A15" s="53" t="s">
        <v>117</v>
      </c>
      <c r="B15" s="53"/>
      <c r="C15" s="53"/>
      <c r="D15" s="53"/>
      <c r="E15" s="53" t="s">
        <v>182</v>
      </c>
      <c r="F15" s="53"/>
      <c r="G15" s="53" t="s">
        <v>246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  <c r="M16" s="122"/>
      <c r="N16" s="122"/>
      <c r="O16" s="122"/>
      <c r="P16" s="122"/>
    </row>
    <row r="17" spans="1:16" ht="29.25" customHeight="1">
      <c r="A17" s="214" t="s">
        <v>258</v>
      </c>
      <c r="B17" s="214"/>
      <c r="C17" s="214"/>
      <c r="D17" s="214"/>
      <c r="E17" s="214"/>
      <c r="F17" s="214"/>
      <c r="G17" s="214"/>
      <c r="H17" s="214"/>
      <c r="I17" s="54"/>
      <c r="J17" s="54"/>
      <c r="K17" s="123"/>
      <c r="L17" s="123"/>
      <c r="M17" s="123"/>
      <c r="N17" s="123"/>
      <c r="O17" s="123"/>
      <c r="P17" s="123"/>
    </row>
    <row r="18" spans="1:16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  <c r="M18" s="123"/>
      <c r="N18" s="123"/>
      <c r="O18" s="123"/>
      <c r="P18" s="123"/>
    </row>
    <row r="19" spans="1:16" ht="15.75">
      <c r="A19" s="194" t="s">
        <v>247</v>
      </c>
      <c r="B19" s="194"/>
      <c r="C19" s="194"/>
      <c r="D19" s="194"/>
      <c r="E19" s="194"/>
      <c r="F19" s="194"/>
      <c r="G19" s="194"/>
      <c r="H19" s="194"/>
      <c r="I19" s="124"/>
      <c r="J19" s="124"/>
      <c r="K19" s="124"/>
      <c r="L19" s="124"/>
      <c r="M19" s="124"/>
      <c r="N19" s="124"/>
      <c r="O19" s="124"/>
      <c r="P19" s="124"/>
    </row>
    <row r="20" spans="1:16" ht="15.75">
      <c r="A20" s="60"/>
      <c r="B20" s="175"/>
      <c r="C20" s="175"/>
      <c r="D20" s="175"/>
      <c r="E20" s="175"/>
      <c r="F20" s="175"/>
      <c r="G20" s="60"/>
      <c r="H20" s="61" t="s">
        <v>163</v>
      </c>
      <c r="I20" s="176"/>
      <c r="J20" s="176"/>
      <c r="K20" s="123"/>
      <c r="M20" s="123"/>
      <c r="N20" s="123"/>
      <c r="O20" s="125"/>
    </row>
    <row r="21" spans="1:16" s="56" customFormat="1" ht="15" customHeight="1">
      <c r="A21" s="177" t="s">
        <v>158</v>
      </c>
      <c r="B21" s="205"/>
      <c r="C21" s="208" t="s">
        <v>190</v>
      </c>
      <c r="D21" s="177" t="s">
        <v>159</v>
      </c>
      <c r="E21" s="177" t="s">
        <v>204</v>
      </c>
      <c r="F21" s="180" t="s">
        <v>248</v>
      </c>
      <c r="G21" s="198" t="s">
        <v>160</v>
      </c>
      <c r="H21" s="185" t="s">
        <v>161</v>
      </c>
      <c r="I21" s="126"/>
    </row>
    <row r="22" spans="1:16" s="56" customFormat="1" ht="15" customHeight="1">
      <c r="A22" s="178"/>
      <c r="B22" s="206"/>
      <c r="C22" s="208"/>
      <c r="D22" s="178"/>
      <c r="E22" s="178"/>
      <c r="F22" s="181"/>
      <c r="G22" s="199"/>
      <c r="H22" s="185"/>
      <c r="I22" s="126"/>
    </row>
    <row r="23" spans="1:16" s="56" customFormat="1" ht="90" customHeight="1">
      <c r="A23" s="179"/>
      <c r="B23" s="207"/>
      <c r="C23" s="208"/>
      <c r="D23" s="179"/>
      <c r="E23" s="179"/>
      <c r="F23" s="182"/>
      <c r="G23" s="200"/>
      <c r="H23" s="185"/>
      <c r="I23" s="126"/>
    </row>
    <row r="24" spans="1:16" s="127" customFormat="1" ht="14.25">
      <c r="A24" s="183">
        <v>-120733</v>
      </c>
      <c r="B24" s="184"/>
      <c r="C24" s="62">
        <v>79821.06</v>
      </c>
      <c r="D24" s="62">
        <v>79074.16</v>
      </c>
      <c r="E24" s="62">
        <v>15652.2</v>
      </c>
      <c r="F24" s="63">
        <f>C24-D24</f>
        <v>746.89999999999418</v>
      </c>
      <c r="G24" s="63">
        <v>221273</v>
      </c>
      <c r="H24" s="64">
        <f>A24+D24+E24-G24</f>
        <v>-247279.63999999998</v>
      </c>
      <c r="J24" s="128"/>
    </row>
    <row r="25" spans="1:16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  <c r="M25" s="123"/>
      <c r="N25" s="123"/>
      <c r="O25" s="123"/>
      <c r="P25" s="123"/>
    </row>
    <row r="26" spans="1:16" ht="14.25">
      <c r="A26" s="53" t="s">
        <v>254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  <c r="O26" s="56"/>
      <c r="P26" s="56"/>
    </row>
    <row r="27" spans="1:16" ht="14.25">
      <c r="A27" s="53" t="s">
        <v>197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6" ht="15" customHeight="1">
      <c r="A28" s="214" t="s">
        <v>164</v>
      </c>
      <c r="B28" s="214"/>
      <c r="C28" s="214"/>
      <c r="D28" s="214"/>
      <c r="E28" s="214"/>
      <c r="F28" s="214"/>
      <c r="G28" s="214"/>
      <c r="H28" s="214"/>
      <c r="I28" s="54"/>
      <c r="J28" s="54"/>
      <c r="K28" s="54"/>
      <c r="L28" s="54"/>
      <c r="M28" s="54"/>
      <c r="N28" s="54"/>
      <c r="O28" s="54"/>
      <c r="P28" s="54"/>
    </row>
    <row r="29" spans="1:16" ht="14.25">
      <c r="A29" s="53" t="s">
        <v>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16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16" s="98" customFormat="1" ht="15.75">
      <c r="A31" s="186" t="s">
        <v>165</v>
      </c>
      <c r="B31" s="186"/>
      <c r="C31" s="186"/>
      <c r="D31" s="186"/>
      <c r="E31" s="186"/>
      <c r="F31" s="186"/>
      <c r="G31" s="186"/>
      <c r="H31" s="186"/>
      <c r="I31" s="129"/>
      <c r="J31" s="129"/>
    </row>
    <row r="32" spans="1:16" s="98" customFormat="1">
      <c r="A32" s="67"/>
      <c r="B32" s="68"/>
      <c r="C32" s="171"/>
      <c r="D32" s="171"/>
      <c r="E32" s="159"/>
      <c r="F32" s="159"/>
      <c r="G32" s="68"/>
      <c r="H32" s="69" t="s">
        <v>166</v>
      </c>
      <c r="I32" s="187"/>
      <c r="J32" s="187"/>
    </row>
    <row r="33" spans="1:16" s="98" customFormat="1" ht="15.75">
      <c r="A33" s="162" t="s">
        <v>62</v>
      </c>
      <c r="B33" s="163"/>
      <c r="C33" s="168" t="s">
        <v>237</v>
      </c>
      <c r="D33" s="169"/>
      <c r="E33" s="169"/>
      <c r="F33" s="169"/>
      <c r="G33" s="170"/>
      <c r="H33" s="70" t="s">
        <v>167</v>
      </c>
    </row>
    <row r="34" spans="1:16" s="98" customFormat="1" ht="15" customHeight="1">
      <c r="A34" s="158" t="s">
        <v>177</v>
      </c>
      <c r="B34" s="158"/>
      <c r="C34" s="71" t="s">
        <v>4</v>
      </c>
      <c r="D34" s="72"/>
      <c r="E34" s="72"/>
      <c r="F34" s="72"/>
      <c r="G34" s="72"/>
      <c r="H34" s="73">
        <f>539+516+516</f>
        <v>1571</v>
      </c>
    </row>
    <row r="35" spans="1:16" s="98" customFormat="1" ht="15" customHeight="1">
      <c r="A35" s="158"/>
      <c r="B35" s="158"/>
      <c r="C35" s="71" t="s">
        <v>209</v>
      </c>
      <c r="D35" s="75"/>
      <c r="E35" s="75"/>
      <c r="F35" s="75"/>
      <c r="G35" s="72"/>
      <c r="H35" s="73">
        <f>2970</f>
        <v>2970</v>
      </c>
    </row>
    <row r="36" spans="1:16" s="98" customFormat="1" ht="15" customHeight="1">
      <c r="A36" s="158"/>
      <c r="B36" s="158"/>
      <c r="C36" s="71" t="s">
        <v>268</v>
      </c>
      <c r="D36" s="72"/>
      <c r="E36" s="72"/>
      <c r="F36" s="72"/>
      <c r="G36" s="72"/>
      <c r="H36" s="73">
        <f>36000</f>
        <v>36000</v>
      </c>
    </row>
    <row r="37" spans="1:16" s="98" customFormat="1" ht="15" customHeight="1">
      <c r="A37" s="158"/>
      <c r="B37" s="158"/>
      <c r="C37" s="71" t="s">
        <v>229</v>
      </c>
      <c r="D37" s="72"/>
      <c r="E37" s="72"/>
      <c r="F37" s="72"/>
      <c r="G37" s="72"/>
      <c r="H37" s="73">
        <f>2122</f>
        <v>2122</v>
      </c>
    </row>
    <row r="38" spans="1:16" s="98" customFormat="1" ht="15" customHeight="1">
      <c r="A38" s="158"/>
      <c r="B38" s="158"/>
      <c r="C38" s="71" t="s">
        <v>175</v>
      </c>
      <c r="D38" s="72"/>
      <c r="E38" s="72"/>
      <c r="F38" s="72"/>
      <c r="G38" s="72"/>
      <c r="H38" s="73">
        <f>37443+37443+2574+50575+50575</f>
        <v>178610</v>
      </c>
    </row>
    <row r="39" spans="1:16" s="98" customFormat="1" ht="15" customHeight="1">
      <c r="A39" s="158"/>
      <c r="B39" s="158"/>
      <c r="C39" s="71"/>
      <c r="D39" s="72"/>
      <c r="E39" s="72"/>
      <c r="F39" s="72"/>
      <c r="G39" s="72"/>
      <c r="H39" s="74">
        <f>SUM(H34:H38)</f>
        <v>221273</v>
      </c>
    </row>
    <row r="40" spans="1:16" s="98" customFormat="1" ht="15">
      <c r="A40" s="158"/>
      <c r="B40" s="158"/>
      <c r="C40" s="162" t="s">
        <v>238</v>
      </c>
      <c r="D40" s="163"/>
      <c r="E40" s="163"/>
      <c r="F40" s="163"/>
      <c r="G40" s="164"/>
      <c r="H40" s="74"/>
    </row>
    <row r="41" spans="1:16" s="98" customFormat="1" ht="14.25">
      <c r="A41" s="158"/>
      <c r="B41" s="158"/>
      <c r="C41" s="71" t="s">
        <v>4</v>
      </c>
      <c r="D41" s="72"/>
      <c r="E41" s="72"/>
      <c r="F41" s="72"/>
      <c r="G41" s="72"/>
      <c r="H41" s="73">
        <f>1041+269</f>
        <v>1310</v>
      </c>
    </row>
    <row r="42" spans="1:16" s="98" customFormat="1" ht="15">
      <c r="A42" s="158"/>
      <c r="B42" s="158"/>
      <c r="C42" s="71" t="s">
        <v>209</v>
      </c>
      <c r="D42" s="75"/>
      <c r="E42" s="75"/>
      <c r="F42" s="75"/>
      <c r="G42" s="75"/>
      <c r="H42" s="73">
        <f>1021+8348+6155</f>
        <v>15524</v>
      </c>
    </row>
    <row r="43" spans="1:16" s="98" customFormat="1" ht="14.25">
      <c r="A43" s="158"/>
      <c r="B43" s="158"/>
      <c r="C43" s="71" t="s">
        <v>3</v>
      </c>
      <c r="D43" s="72"/>
      <c r="E43" s="72"/>
      <c r="F43" s="72"/>
      <c r="G43" s="72"/>
      <c r="H43" s="73">
        <v>75200</v>
      </c>
    </row>
    <row r="44" spans="1:16" ht="42.75" customHeight="1">
      <c r="A44" s="214" t="s">
        <v>259</v>
      </c>
      <c r="B44" s="214"/>
      <c r="C44" s="214"/>
      <c r="D44" s="214"/>
      <c r="E44" s="214"/>
      <c r="F44" s="214"/>
      <c r="G44" s="214"/>
      <c r="H44" s="214"/>
      <c r="I44" s="54"/>
      <c r="J44" s="54"/>
    </row>
    <row r="45" spans="1:16">
      <c r="A45" s="78"/>
      <c r="B45" s="78"/>
      <c r="C45" s="78"/>
      <c r="D45" s="78"/>
      <c r="E45" s="79"/>
      <c r="F45" s="79"/>
      <c r="G45" s="79"/>
      <c r="H45" s="79"/>
      <c r="I45" s="79"/>
      <c r="J45" s="79"/>
    </row>
    <row r="46" spans="1:16" ht="30" customHeight="1">
      <c r="A46" s="160" t="s">
        <v>240</v>
      </c>
      <c r="B46" s="160"/>
      <c r="C46" s="160"/>
      <c r="D46" s="160"/>
      <c r="E46" s="160"/>
      <c r="F46" s="160"/>
      <c r="G46" s="160"/>
      <c r="H46" s="160"/>
      <c r="I46" s="132"/>
      <c r="J46" s="132"/>
      <c r="K46" s="124"/>
      <c r="L46" s="124"/>
      <c r="M46" s="124"/>
      <c r="N46" s="124"/>
      <c r="O46" s="124"/>
      <c r="P46" s="124"/>
    </row>
    <row r="47" spans="1:16" ht="15">
      <c r="A47" s="80"/>
      <c r="B47" s="80"/>
      <c r="C47" s="80"/>
      <c r="D47" s="80"/>
      <c r="E47" s="80"/>
      <c r="F47" s="80"/>
      <c r="G47" s="80"/>
      <c r="H47" s="89" t="s">
        <v>168</v>
      </c>
      <c r="J47" s="80"/>
      <c r="M47" s="80"/>
      <c r="N47" s="80"/>
      <c r="O47" s="80"/>
      <c r="P47" s="80"/>
    </row>
    <row r="48" spans="1:16" ht="15.75">
      <c r="A48" s="168" t="s">
        <v>62</v>
      </c>
      <c r="B48" s="170"/>
      <c r="C48" s="168" t="s">
        <v>237</v>
      </c>
      <c r="D48" s="169"/>
      <c r="E48" s="169"/>
      <c r="F48" s="169"/>
      <c r="G48" s="170"/>
      <c r="H48" s="70" t="s">
        <v>167</v>
      </c>
      <c r="I48" s="80"/>
      <c r="J48" s="80"/>
      <c r="K48" s="80"/>
      <c r="L48" s="80"/>
    </row>
    <row r="49" spans="1:12" ht="15" customHeight="1">
      <c r="A49" s="158" t="s">
        <v>177</v>
      </c>
      <c r="B49" s="158"/>
      <c r="C49" s="172" t="s">
        <v>13</v>
      </c>
      <c r="D49" s="173"/>
      <c r="E49" s="173"/>
      <c r="F49" s="173"/>
      <c r="G49" s="174"/>
      <c r="H49" s="81">
        <f>381+566+486+381+347</f>
        <v>2161</v>
      </c>
      <c r="I49" s="80"/>
      <c r="J49" s="80"/>
      <c r="K49" s="80"/>
      <c r="L49" s="80"/>
    </row>
    <row r="50" spans="1:12" ht="15" customHeight="1">
      <c r="A50" s="158"/>
      <c r="B50" s="158"/>
      <c r="C50" s="172" t="s">
        <v>226</v>
      </c>
      <c r="D50" s="173"/>
      <c r="E50" s="173"/>
      <c r="F50" s="173"/>
      <c r="G50" s="174"/>
      <c r="H50" s="81">
        <f>6441</f>
        <v>6441</v>
      </c>
      <c r="I50" s="80"/>
      <c r="J50" s="80"/>
      <c r="K50" s="80"/>
      <c r="L50" s="80"/>
    </row>
    <row r="51" spans="1:12" ht="15" customHeight="1">
      <c r="A51" s="158"/>
      <c r="B51" s="158"/>
      <c r="C51" s="172" t="s">
        <v>225</v>
      </c>
      <c r="D51" s="173"/>
      <c r="E51" s="173"/>
      <c r="F51" s="173"/>
      <c r="G51" s="174"/>
      <c r="H51" s="81">
        <f>897+897</f>
        <v>1794</v>
      </c>
      <c r="I51" s="80"/>
      <c r="J51" s="80"/>
      <c r="K51" s="80"/>
      <c r="L51" s="80"/>
    </row>
    <row r="52" spans="1:12" ht="15" customHeight="1">
      <c r="A52" s="158"/>
      <c r="B52" s="158"/>
      <c r="C52" s="71" t="s">
        <v>147</v>
      </c>
      <c r="D52" s="82"/>
      <c r="E52" s="82"/>
      <c r="F52" s="82"/>
      <c r="G52" s="83"/>
      <c r="H52" s="81">
        <f>H72</f>
        <v>6382.5409702751685</v>
      </c>
      <c r="I52" s="80"/>
      <c r="J52" s="80"/>
      <c r="K52" s="80"/>
      <c r="L52" s="80"/>
    </row>
    <row r="53" spans="1:12" ht="15" customHeight="1">
      <c r="A53" s="158"/>
      <c r="B53" s="158"/>
      <c r="C53" s="162" t="s">
        <v>238</v>
      </c>
      <c r="D53" s="163"/>
      <c r="E53" s="163"/>
      <c r="F53" s="163"/>
      <c r="G53" s="164"/>
      <c r="H53" s="81"/>
      <c r="I53" s="80"/>
      <c r="J53" s="80"/>
      <c r="K53" s="80"/>
      <c r="L53" s="80"/>
    </row>
    <row r="54" spans="1:12" ht="14.25">
      <c r="A54" s="158"/>
      <c r="B54" s="158"/>
      <c r="C54" s="165" t="s">
        <v>169</v>
      </c>
      <c r="D54" s="166"/>
      <c r="E54" s="166"/>
      <c r="F54" s="166"/>
      <c r="G54" s="167"/>
      <c r="H54" s="84">
        <v>3892.41</v>
      </c>
      <c r="I54" s="79"/>
      <c r="J54" s="79"/>
    </row>
    <row r="55" spans="1:12" ht="15">
      <c r="A55" s="76"/>
      <c r="B55" s="76"/>
      <c r="C55" s="85"/>
      <c r="D55" s="85"/>
      <c r="E55" s="85"/>
      <c r="F55" s="85"/>
      <c r="G55" s="85"/>
      <c r="H55" s="79"/>
      <c r="I55" s="79"/>
      <c r="J55" s="79"/>
    </row>
    <row r="56" spans="1:12">
      <c r="A56" s="86" t="s">
        <v>118</v>
      </c>
      <c r="B56" s="86"/>
      <c r="C56" s="86"/>
      <c r="D56" s="86"/>
      <c r="E56" s="86"/>
      <c r="F56" s="86"/>
      <c r="G56" s="86"/>
      <c r="H56" s="86"/>
      <c r="I56" s="86"/>
      <c r="J56" s="86"/>
    </row>
    <row r="57" spans="1:12" ht="18" customHeight="1">
      <c r="A57" s="161" t="s">
        <v>61</v>
      </c>
      <c r="B57" s="161"/>
      <c r="C57" s="161"/>
      <c r="D57" s="161"/>
      <c r="E57" s="161"/>
      <c r="F57" s="161"/>
      <c r="G57" s="161"/>
      <c r="H57" s="161"/>
      <c r="I57" s="87"/>
      <c r="J57" s="87"/>
    </row>
    <row r="58" spans="1:12" ht="12" customHeight="1">
      <c r="A58" s="87"/>
      <c r="B58" s="87"/>
      <c r="C58" s="87"/>
      <c r="D58" s="87"/>
      <c r="E58" s="87"/>
      <c r="F58" s="87"/>
      <c r="G58" s="87"/>
      <c r="H58" s="87"/>
      <c r="I58" s="87"/>
      <c r="J58" s="87"/>
    </row>
    <row r="59" spans="1:12" ht="15.75">
      <c r="A59" s="194" t="s">
        <v>59</v>
      </c>
      <c r="B59" s="194"/>
      <c r="C59" s="194"/>
      <c r="D59" s="194"/>
      <c r="E59" s="194"/>
      <c r="F59" s="194"/>
      <c r="G59" s="194"/>
      <c r="H59" s="194"/>
      <c r="I59" s="124"/>
      <c r="J59" s="124"/>
    </row>
    <row r="60" spans="1:12" ht="15.75">
      <c r="A60" s="88"/>
      <c r="B60" s="88"/>
      <c r="C60" s="88"/>
      <c r="D60" s="88"/>
      <c r="E60" s="88"/>
      <c r="F60" s="88"/>
      <c r="G60" s="88"/>
      <c r="H60" s="89" t="s">
        <v>173</v>
      </c>
      <c r="J60" s="88"/>
    </row>
    <row r="61" spans="1:12" ht="15.75">
      <c r="A61" s="190" t="s">
        <v>60</v>
      </c>
      <c r="B61" s="190"/>
      <c r="C61" s="190"/>
      <c r="D61" s="190"/>
      <c r="E61" s="190"/>
      <c r="F61" s="190"/>
      <c r="G61" s="191"/>
      <c r="H61" s="90">
        <f>SUM(H70:H83)+H63+H69</f>
        <v>870368.45651265851</v>
      </c>
      <c r="I61" s="133"/>
      <c r="J61" s="133"/>
    </row>
    <row r="62" spans="1:12" ht="15">
      <c r="A62" s="91" t="s">
        <v>49</v>
      </c>
      <c r="B62" s="195" t="s">
        <v>50</v>
      </c>
      <c r="C62" s="196"/>
      <c r="D62" s="196"/>
      <c r="E62" s="196"/>
      <c r="F62" s="196"/>
      <c r="G62" s="197"/>
      <c r="H62" s="92" t="s">
        <v>51</v>
      </c>
      <c r="I62" s="99"/>
    </row>
    <row r="63" spans="1:12" ht="15.75">
      <c r="A63" s="93" t="s">
        <v>52</v>
      </c>
      <c r="B63" s="71" t="s">
        <v>53</v>
      </c>
      <c r="C63" s="72"/>
      <c r="D63" s="72"/>
      <c r="E63" s="72"/>
      <c r="F63" s="72"/>
      <c r="G63" s="72"/>
      <c r="H63" s="94">
        <f>SUM(H64:H68)</f>
        <v>124284.07618217784</v>
      </c>
      <c r="I63" s="60"/>
      <c r="K63" s="134">
        <f>Основное!$C$8*Основное!K35</f>
        <v>0</v>
      </c>
    </row>
    <row r="64" spans="1:12" ht="15">
      <c r="A64" s="93"/>
      <c r="B64" s="71" t="s">
        <v>191</v>
      </c>
      <c r="C64" s="72"/>
      <c r="D64" s="72"/>
      <c r="E64" s="72"/>
      <c r="F64" s="72"/>
      <c r="G64" s="72"/>
      <c r="H64" s="84">
        <f>279+256+256</f>
        <v>791</v>
      </c>
      <c r="I64" s="60"/>
    </row>
    <row r="65" spans="1:9" ht="15">
      <c r="A65" s="93"/>
      <c r="B65" s="71" t="s">
        <v>196</v>
      </c>
      <c r="C65" s="72"/>
      <c r="D65" s="72"/>
      <c r="E65" s="72"/>
      <c r="F65" s="72"/>
      <c r="G65" s="72"/>
      <c r="H65" s="84">
        <f>1640</f>
        <v>1640</v>
      </c>
      <c r="I65" s="60"/>
    </row>
    <row r="66" spans="1:9" ht="15">
      <c r="A66" s="93"/>
      <c r="B66" s="71" t="s">
        <v>223</v>
      </c>
      <c r="C66" s="72"/>
      <c r="D66" s="72"/>
      <c r="E66" s="72"/>
      <c r="F66" s="72"/>
      <c r="G66" s="72"/>
      <c r="H66" s="84">
        <f>15768+15768+1306+30548+30548</f>
        <v>93938</v>
      </c>
      <c r="I66" s="60"/>
    </row>
    <row r="67" spans="1:9" ht="15">
      <c r="A67" s="93"/>
      <c r="B67" s="71" t="s">
        <v>14</v>
      </c>
      <c r="C67" s="72"/>
      <c r="D67" s="72"/>
      <c r="E67" s="72"/>
      <c r="F67" s="72"/>
      <c r="G67" s="72"/>
      <c r="H67" s="84">
        <f>121+240+151+2680+121+87</f>
        <v>3400</v>
      </c>
      <c r="I67" s="60"/>
    </row>
    <row r="68" spans="1:9" ht="48.75" customHeight="1">
      <c r="A68" s="93"/>
      <c r="B68" s="192" t="s">
        <v>40</v>
      </c>
      <c r="C68" s="193"/>
      <c r="D68" s="193"/>
      <c r="E68" s="193"/>
      <c r="F68" s="193"/>
      <c r="G68" s="193"/>
      <c r="H68" s="84">
        <f>Основное!C8*Основное!H35</f>
        <v>24515.076182177843</v>
      </c>
      <c r="I68" s="60"/>
    </row>
    <row r="69" spans="1:9" ht="15">
      <c r="A69" s="93" t="s">
        <v>54</v>
      </c>
      <c r="B69" s="71" t="s">
        <v>152</v>
      </c>
      <c r="C69" s="72"/>
      <c r="D69" s="72"/>
      <c r="E69" s="72"/>
      <c r="F69" s="72"/>
      <c r="G69" s="72"/>
      <c r="H69" s="84">
        <f>H36+Основное!$C$8*Основное!H37</f>
        <v>39168.053770113926</v>
      </c>
      <c r="I69" s="60"/>
    </row>
    <row r="70" spans="1:9" ht="15">
      <c r="A70" s="93" t="s">
        <v>21</v>
      </c>
      <c r="B70" s="71" t="s">
        <v>34</v>
      </c>
      <c r="C70" s="72"/>
      <c r="D70" s="72"/>
      <c r="E70" s="72"/>
      <c r="F70" s="72"/>
      <c r="G70" s="72"/>
      <c r="H70" s="84">
        <f>Основное!$C$8*Основное!H36</f>
        <v>4912.4923533844585</v>
      </c>
      <c r="I70" s="60"/>
    </row>
    <row r="71" spans="1:9" ht="15">
      <c r="A71" s="93" t="s">
        <v>22</v>
      </c>
      <c r="B71" s="71" t="s">
        <v>55</v>
      </c>
      <c r="C71" s="72"/>
      <c r="D71" s="72"/>
      <c r="E71" s="72"/>
      <c r="F71" s="72"/>
      <c r="G71" s="72"/>
      <c r="H71" s="84">
        <f>Основное!$C$8*Основное!H38</f>
        <v>1788.5881169932177</v>
      </c>
      <c r="I71" s="60"/>
    </row>
    <row r="72" spans="1:9" ht="15">
      <c r="A72" s="93" t="s">
        <v>23</v>
      </c>
      <c r="B72" s="71" t="s">
        <v>37</v>
      </c>
      <c r="C72" s="72"/>
      <c r="D72" s="72"/>
      <c r="E72" s="72"/>
      <c r="F72" s="72"/>
      <c r="G72" s="72"/>
      <c r="H72" s="84">
        <f>Основное!$C$8*Основное!H39</f>
        <v>6382.5409702751685</v>
      </c>
      <c r="I72" s="60"/>
    </row>
    <row r="73" spans="1:9" ht="15">
      <c r="A73" s="93" t="s">
        <v>24</v>
      </c>
      <c r="B73" s="71" t="s">
        <v>19</v>
      </c>
      <c r="C73" s="72"/>
      <c r="D73" s="72"/>
      <c r="E73" s="72"/>
      <c r="F73" s="72"/>
      <c r="G73" s="72"/>
      <c r="H73" s="84">
        <f>Основное!$C$8*Основное!H40</f>
        <v>54081.807274812709</v>
      </c>
      <c r="I73" s="60"/>
    </row>
    <row r="74" spans="1:9" ht="15">
      <c r="A74" s="93" t="s">
        <v>25</v>
      </c>
      <c r="B74" s="71" t="s">
        <v>20</v>
      </c>
      <c r="C74" s="72"/>
      <c r="D74" s="72"/>
      <c r="E74" s="72"/>
      <c r="F74" s="72"/>
      <c r="G74" s="72"/>
      <c r="H74" s="84">
        <f>Основное!$C$8*Основное!H41</f>
        <v>2850.3211578527416</v>
      </c>
      <c r="I74" s="60"/>
    </row>
    <row r="75" spans="1:9" ht="15">
      <c r="A75" s="93" t="s">
        <v>26</v>
      </c>
      <c r="B75" s="71" t="s">
        <v>56</v>
      </c>
      <c r="C75" s="72"/>
      <c r="D75" s="72"/>
      <c r="E75" s="72"/>
      <c r="F75" s="72"/>
      <c r="G75" s="72"/>
      <c r="H75" s="84">
        <f>Основное!$C$8*Основное!H42</f>
        <v>53788.048716282865</v>
      </c>
      <c r="I75" s="60"/>
    </row>
    <row r="76" spans="1:9" ht="15">
      <c r="A76" s="93" t="s">
        <v>27</v>
      </c>
      <c r="B76" s="71" t="s">
        <v>148</v>
      </c>
      <c r="C76" s="72"/>
      <c r="D76" s="72"/>
      <c r="E76" s="72"/>
      <c r="F76" s="72"/>
      <c r="G76" s="72"/>
      <c r="H76" s="84">
        <f>Основное!$C$8*Основное!H43</f>
        <v>131751.66256455294</v>
      </c>
      <c r="I76" s="60"/>
    </row>
    <row r="77" spans="1:9" ht="15">
      <c r="A77" s="93" t="s">
        <v>28</v>
      </c>
      <c r="B77" s="71" t="s">
        <v>153</v>
      </c>
      <c r="C77" s="72"/>
      <c r="D77" s="72"/>
      <c r="E77" s="72"/>
      <c r="F77" s="72"/>
      <c r="G77" s="72"/>
      <c r="H77" s="84">
        <f>Основное!$C$8*Основное!H44</f>
        <v>13994.939538335586</v>
      </c>
      <c r="I77" s="60"/>
    </row>
    <row r="78" spans="1:9" ht="15">
      <c r="A78" s="93" t="s">
        <v>29</v>
      </c>
      <c r="B78" s="71" t="s">
        <v>146</v>
      </c>
      <c r="C78" s="72"/>
      <c r="D78" s="72"/>
      <c r="E78" s="72"/>
      <c r="F78" s="72"/>
      <c r="G78" s="72"/>
      <c r="H78" s="84">
        <f>Основное!$C$8*Основное!H45</f>
        <v>18060.774157833348</v>
      </c>
      <c r="I78" s="60"/>
    </row>
    <row r="79" spans="1:9" ht="15">
      <c r="A79" s="93" t="s">
        <v>30</v>
      </c>
      <c r="B79" s="71" t="s">
        <v>151</v>
      </c>
      <c r="C79" s="72"/>
      <c r="D79" s="72"/>
      <c r="E79" s="72"/>
      <c r="F79" s="72"/>
      <c r="G79" s="72"/>
      <c r="H79" s="84">
        <f>Основное!$C$8*Основное!H46</f>
        <v>6946.1180322293758</v>
      </c>
      <c r="I79" s="60"/>
    </row>
    <row r="80" spans="1:9" ht="15">
      <c r="A80" s="93" t="s">
        <v>31</v>
      </c>
      <c r="B80" s="71" t="s">
        <v>57</v>
      </c>
      <c r="C80" s="72"/>
      <c r="D80" s="72"/>
      <c r="E80" s="72"/>
      <c r="F80" s="72"/>
      <c r="G80" s="72"/>
      <c r="H80" s="84">
        <f>Основное!$C$8*Основное!H47+1000</f>
        <v>325400.86319484463</v>
      </c>
      <c r="I80" s="60"/>
    </row>
    <row r="81" spans="1:16" ht="15">
      <c r="A81" s="93" t="s">
        <v>32</v>
      </c>
      <c r="B81" s="71" t="s">
        <v>145</v>
      </c>
      <c r="C81" s="72"/>
      <c r="D81" s="72"/>
      <c r="E81" s="72"/>
      <c r="F81" s="72"/>
      <c r="G81" s="72"/>
      <c r="H81" s="84">
        <f>Основное!$C$8*Основное!H48+200</f>
        <v>65728.974365358619</v>
      </c>
      <c r="I81" s="60"/>
    </row>
    <row r="82" spans="1:16" ht="15">
      <c r="A82" s="93" t="s">
        <v>33</v>
      </c>
      <c r="B82" s="71" t="s">
        <v>140</v>
      </c>
      <c r="C82" s="72"/>
      <c r="D82" s="72"/>
      <c r="E82" s="72"/>
      <c r="F82" s="72"/>
      <c r="G82" s="72"/>
      <c r="H82" s="84">
        <f>Основное!$C$8*Основное!H49</f>
        <v>9492.5245079569122</v>
      </c>
      <c r="I82" s="60"/>
    </row>
    <row r="83" spans="1:16" ht="15">
      <c r="A83" s="93" t="s">
        <v>36</v>
      </c>
      <c r="B83" s="71" t="s">
        <v>41</v>
      </c>
      <c r="C83" s="72"/>
      <c r="D83" s="72"/>
      <c r="E83" s="72"/>
      <c r="F83" s="72"/>
      <c r="G83" s="72"/>
      <c r="H83" s="84">
        <f>Основное!$C$8*Основное!H50</f>
        <v>11736.671609654128</v>
      </c>
      <c r="I83" s="60"/>
    </row>
    <row r="84" spans="1:16">
      <c r="A84" s="95"/>
      <c r="B84" s="95"/>
      <c r="C84" s="95"/>
      <c r="D84" s="95"/>
      <c r="E84" s="95"/>
      <c r="F84" s="95"/>
      <c r="G84" s="95"/>
      <c r="H84" s="96"/>
      <c r="I84" s="135"/>
      <c r="J84" s="135"/>
    </row>
    <row r="85" spans="1:16" s="98" customFormat="1" ht="26.25" customHeight="1">
      <c r="A85" s="209" t="s">
        <v>205</v>
      </c>
      <c r="B85" s="209"/>
      <c r="C85" s="209"/>
      <c r="D85" s="209"/>
      <c r="E85" s="209"/>
      <c r="F85" s="209"/>
      <c r="G85" s="209"/>
      <c r="H85" s="209"/>
      <c r="I85" s="136"/>
      <c r="J85" s="136"/>
    </row>
    <row r="86" spans="1:16" s="98" customFormat="1">
      <c r="A86" s="97"/>
      <c r="B86" s="189"/>
      <c r="C86" s="189"/>
      <c r="D86" s="189"/>
      <c r="E86" s="189"/>
      <c r="F86" s="189"/>
      <c r="G86" s="189"/>
      <c r="H86" s="189"/>
      <c r="I86" s="102"/>
      <c r="J86" s="102"/>
    </row>
    <row r="87" spans="1:16" s="98" customFormat="1" ht="15.75">
      <c r="A87" s="186" t="s">
        <v>219</v>
      </c>
      <c r="B87" s="186"/>
      <c r="C87" s="186"/>
      <c r="D87" s="186"/>
      <c r="E87" s="186"/>
      <c r="F87" s="97"/>
      <c r="G87" s="97"/>
      <c r="I87" s="97"/>
      <c r="J87" s="97"/>
    </row>
    <row r="88" spans="1:16" s="98" customFormat="1" ht="15">
      <c r="A88" s="99"/>
      <c r="B88" s="99"/>
      <c r="C88" s="99"/>
      <c r="D88" s="99"/>
      <c r="E88" s="137" t="s">
        <v>170</v>
      </c>
      <c r="F88" s="100"/>
      <c r="G88" s="101"/>
      <c r="H88" s="102"/>
      <c r="I88" s="102"/>
      <c r="J88" s="102"/>
    </row>
    <row r="89" spans="1:16" s="98" customFormat="1" ht="34.5" customHeight="1">
      <c r="A89" s="118" t="s">
        <v>194</v>
      </c>
      <c r="B89" s="103" t="s">
        <v>200</v>
      </c>
      <c r="C89" s="104" t="s">
        <v>171</v>
      </c>
      <c r="D89" s="105" t="s">
        <v>172</v>
      </c>
      <c r="E89" s="106" t="s">
        <v>195</v>
      </c>
      <c r="F89" s="107"/>
      <c r="G89" s="108"/>
      <c r="H89" s="100"/>
      <c r="I89" s="102"/>
      <c r="J89" s="102"/>
      <c r="K89" s="102"/>
    </row>
    <row r="90" spans="1:16" s="98" customFormat="1" ht="15">
      <c r="A90" s="109">
        <v>1012.2</v>
      </c>
      <c r="B90" s="109">
        <v>4320</v>
      </c>
      <c r="C90" s="110">
        <v>4320</v>
      </c>
      <c r="D90" s="111">
        <v>6000</v>
      </c>
      <c r="E90" s="111">
        <f>SUM(A90:D90)</f>
        <v>15652.2</v>
      </c>
      <c r="F90" s="112"/>
      <c r="G90" s="113"/>
      <c r="H90" s="102"/>
      <c r="I90" s="102"/>
    </row>
    <row r="91" spans="1:16" s="98" customFormat="1" ht="15">
      <c r="A91" s="114"/>
      <c r="B91" s="114"/>
      <c r="C91" s="115"/>
      <c r="D91" s="115"/>
      <c r="E91" s="115"/>
      <c r="F91" s="115"/>
      <c r="G91" s="100"/>
      <c r="H91" s="102"/>
      <c r="I91" s="102"/>
      <c r="J91" s="102"/>
    </row>
    <row r="92" spans="1:16" s="98" customFormat="1" ht="96.75" customHeight="1">
      <c r="A92" s="203" t="s">
        <v>249</v>
      </c>
      <c r="B92" s="203"/>
      <c r="C92" s="203"/>
      <c r="D92" s="203"/>
      <c r="E92" s="203"/>
      <c r="F92" s="203"/>
      <c r="G92" s="203"/>
      <c r="H92" s="203"/>
      <c r="I92" s="138"/>
      <c r="J92" s="138"/>
      <c r="K92" s="138"/>
      <c r="L92" s="138"/>
      <c r="M92" s="138"/>
    </row>
    <row r="93" spans="1:16" ht="59.25" customHeight="1">
      <c r="A93" s="204" t="s">
        <v>251</v>
      </c>
      <c r="B93" s="204"/>
      <c r="C93" s="204"/>
      <c r="D93" s="204"/>
      <c r="E93" s="204"/>
      <c r="F93" s="204"/>
      <c r="G93" s="204"/>
      <c r="H93" s="204"/>
      <c r="I93" s="139"/>
      <c r="J93" s="139"/>
      <c r="K93" s="139"/>
      <c r="L93" s="139"/>
      <c r="M93" s="139"/>
      <c r="N93" s="139"/>
      <c r="O93" s="139"/>
      <c r="P93" s="139"/>
    </row>
    <row r="94" spans="1:16">
      <c r="A94" s="116"/>
      <c r="B94" s="116"/>
      <c r="C94" s="116"/>
      <c r="D94" s="116"/>
      <c r="E94" s="116"/>
      <c r="F94" s="116"/>
      <c r="G94" s="116"/>
      <c r="H94" s="116"/>
      <c r="I94" s="116"/>
      <c r="J94" s="116"/>
      <c r="K94" s="116"/>
      <c r="L94" s="116"/>
      <c r="M94" s="116"/>
    </row>
    <row r="95" spans="1:16" ht="15">
      <c r="A95" s="188" t="s">
        <v>250</v>
      </c>
      <c r="B95" s="188"/>
      <c r="C95" s="188"/>
      <c r="D95" s="188"/>
      <c r="E95" s="188"/>
      <c r="F95" s="188"/>
      <c r="G95" s="188"/>
      <c r="H95" s="188"/>
      <c r="I95" s="140"/>
      <c r="J95" s="140"/>
      <c r="K95" s="141"/>
      <c r="L95" s="141"/>
      <c r="M95" s="141"/>
      <c r="N95" s="141"/>
      <c r="O95" s="141"/>
      <c r="P95" s="141"/>
    </row>
    <row r="96" spans="1:16" ht="15">
      <c r="A96" s="188" t="s">
        <v>156</v>
      </c>
      <c r="B96" s="188"/>
      <c r="C96" s="188"/>
      <c r="D96" s="188"/>
      <c r="E96" s="188"/>
      <c r="F96" s="188"/>
      <c r="G96" s="188"/>
      <c r="H96" s="188"/>
      <c r="I96" s="140"/>
      <c r="J96" s="140"/>
      <c r="K96" s="141"/>
      <c r="L96" s="141"/>
      <c r="M96" s="141"/>
      <c r="N96" s="141"/>
      <c r="O96" s="141"/>
      <c r="P96" s="141"/>
    </row>
    <row r="97" spans="1:16" ht="14.25">
      <c r="A97" s="202" t="s">
        <v>157</v>
      </c>
      <c r="B97" s="202"/>
      <c r="C97" s="202"/>
      <c r="D97" s="202"/>
      <c r="E97" s="202"/>
      <c r="F97" s="202"/>
      <c r="G97" s="202"/>
      <c r="H97" s="202"/>
      <c r="I97" s="142"/>
      <c r="J97" s="142"/>
      <c r="K97" s="142"/>
      <c r="L97" s="142"/>
      <c r="M97" s="142"/>
      <c r="N97" s="142"/>
      <c r="O97" s="142"/>
      <c r="P97" s="142"/>
    </row>
    <row r="98" spans="1:16" ht="15">
      <c r="A98" s="201" t="s">
        <v>42</v>
      </c>
      <c r="B98" s="201"/>
      <c r="C98" s="201"/>
      <c r="D98" s="201"/>
      <c r="E98" s="201"/>
      <c r="F98" s="201"/>
      <c r="G98" s="201"/>
      <c r="H98" s="201"/>
      <c r="I98" s="143"/>
      <c r="J98" s="143"/>
      <c r="K98" s="144"/>
      <c r="L98" s="144"/>
      <c r="M98" s="144"/>
      <c r="N98" s="144"/>
      <c r="O98" s="144"/>
      <c r="P98" s="144"/>
    </row>
    <row r="99" spans="1:16" ht="15">
      <c r="A99" s="211" t="s">
        <v>43</v>
      </c>
      <c r="B99" s="211"/>
      <c r="C99" s="211"/>
      <c r="D99" s="211"/>
      <c r="E99" s="211"/>
      <c r="F99" s="211"/>
      <c r="G99" s="211"/>
      <c r="H99" s="211"/>
      <c r="I99" s="145"/>
      <c r="J99" s="145"/>
      <c r="K99" s="146"/>
      <c r="L99" s="146"/>
      <c r="M99" s="146"/>
      <c r="N99" s="146"/>
      <c r="O99" s="146"/>
      <c r="P99" s="146"/>
    </row>
  </sheetData>
  <sheetProtection sheet="1" objects="1" scenarios="1" selectLockedCells="1" selectUnlockedCells="1"/>
  <mergeCells count="50">
    <mergeCell ref="E5:H7"/>
    <mergeCell ref="A99:H99"/>
    <mergeCell ref="A1:H1"/>
    <mergeCell ref="A2:H2"/>
    <mergeCell ref="A3:H3"/>
    <mergeCell ref="A19:H19"/>
    <mergeCell ref="A17:H17"/>
    <mergeCell ref="A28:H28"/>
    <mergeCell ref="A96:H96"/>
    <mergeCell ref="A44:H44"/>
    <mergeCell ref="G21:G23"/>
    <mergeCell ref="A98:H98"/>
    <mergeCell ref="A97:H97"/>
    <mergeCell ref="A87:E87"/>
    <mergeCell ref="A92:H92"/>
    <mergeCell ref="A93:H93"/>
    <mergeCell ref="A21:B23"/>
    <mergeCell ref="C21:C23"/>
    <mergeCell ref="A85:H85"/>
    <mergeCell ref="C49:G49"/>
    <mergeCell ref="A31:H31"/>
    <mergeCell ref="I32:J32"/>
    <mergeCell ref="A95:H95"/>
    <mergeCell ref="B86:H86"/>
    <mergeCell ref="A61:G61"/>
    <mergeCell ref="B68:G68"/>
    <mergeCell ref="A49:B54"/>
    <mergeCell ref="C50:G50"/>
    <mergeCell ref="A59:H59"/>
    <mergeCell ref="B62:G62"/>
    <mergeCell ref="C53:G53"/>
    <mergeCell ref="A33:B33"/>
    <mergeCell ref="B20:F20"/>
    <mergeCell ref="I20:J20"/>
    <mergeCell ref="E21:E23"/>
    <mergeCell ref="F21:F23"/>
    <mergeCell ref="A24:B24"/>
    <mergeCell ref="C33:G33"/>
    <mergeCell ref="D21:D23"/>
    <mergeCell ref="H21:H23"/>
    <mergeCell ref="A34:B43"/>
    <mergeCell ref="E32:F32"/>
    <mergeCell ref="A46:H46"/>
    <mergeCell ref="A57:H57"/>
    <mergeCell ref="C40:G40"/>
    <mergeCell ref="C54:G54"/>
    <mergeCell ref="C48:G48"/>
    <mergeCell ref="C32:D32"/>
    <mergeCell ref="A48:B48"/>
    <mergeCell ref="C51:G51"/>
  </mergeCells>
  <phoneticPr fontId="5" type="noConversion"/>
  <hyperlinks>
    <hyperlink ref="B62" r:id="rId1" display="blgorod@rambler.ru,"/>
    <hyperlink ref="B61" r:id="rId2" display="blgorod@rambler.ru,"/>
    <hyperlink ref="A97" r:id="rId3" display="blgorod@rambler.ru,"/>
  </hyperlinks>
  <pageMargins left="0.78740157480314965" right="0.78740157480314965" top="0.78740157480314965" bottom="1.5748031496062993" header="0.51181102362204722" footer="0.51181102362204722"/>
  <pageSetup paperSize="9" scale="69" orientation="portrait" verticalDpi="360" r:id="rId4"/>
  <headerFooter alignWithMargins="0"/>
  <rowBreaks count="1" manualBreakCount="1">
    <brk id="5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Лист10"/>
  <dimension ref="A1:Y102"/>
  <sheetViews>
    <sheetView view="pageBreakPreview" topLeftCell="A61" zoomScaleSheetLayoutView="100" workbookViewId="0">
      <selection activeCell="H64" sqref="H64"/>
    </sheetView>
  </sheetViews>
  <sheetFormatPr defaultRowHeight="12.75"/>
  <cols>
    <col min="1" max="1" width="12.42578125" style="120" customWidth="1"/>
    <col min="2" max="2" width="12.7109375" style="120" customWidth="1"/>
    <col min="3" max="3" width="13.28515625" style="120" customWidth="1"/>
    <col min="4" max="4" width="13.5703125" style="120" customWidth="1"/>
    <col min="5" max="5" width="15.42578125" style="120" customWidth="1"/>
    <col min="6" max="6" width="17.140625" style="120" customWidth="1"/>
    <col min="7" max="7" width="20.7109375" style="120" customWidth="1"/>
    <col min="8" max="8" width="14.140625" style="120" bestFit="1" customWidth="1"/>
    <col min="9" max="9" width="9.140625" style="120"/>
    <col min="10" max="10" width="5.85546875" style="120" customWidth="1"/>
    <col min="11" max="16384" width="9.140625" style="120"/>
  </cols>
  <sheetData>
    <row r="1" spans="1:19" ht="18">
      <c r="A1" s="212" t="s">
        <v>243</v>
      </c>
      <c r="B1" s="212"/>
      <c r="C1" s="212"/>
      <c r="D1" s="212"/>
      <c r="E1" s="212"/>
      <c r="F1" s="212"/>
      <c r="G1" s="212"/>
      <c r="H1" s="212"/>
      <c r="I1" s="119"/>
      <c r="J1" s="119"/>
      <c r="K1" s="119"/>
      <c r="L1" s="119"/>
      <c r="M1" s="119"/>
      <c r="N1" s="119"/>
      <c r="O1" s="119"/>
      <c r="P1" s="119"/>
    </row>
    <row r="2" spans="1:19" ht="18">
      <c r="A2" s="212" t="s">
        <v>178</v>
      </c>
      <c r="B2" s="212"/>
      <c r="C2" s="212"/>
      <c r="D2" s="212"/>
      <c r="E2" s="212"/>
      <c r="F2" s="212"/>
      <c r="G2" s="212"/>
      <c r="H2" s="212"/>
      <c r="I2" s="119"/>
      <c r="J2" s="119"/>
      <c r="K2" s="119"/>
      <c r="L2" s="119"/>
      <c r="M2" s="119"/>
      <c r="N2" s="119"/>
      <c r="O2" s="119"/>
      <c r="P2" s="119"/>
    </row>
    <row r="3" spans="1:19" ht="18">
      <c r="A3" s="213" t="s">
        <v>244</v>
      </c>
      <c r="B3" s="213"/>
      <c r="C3" s="213"/>
      <c r="D3" s="213"/>
      <c r="E3" s="213"/>
      <c r="F3" s="213"/>
      <c r="G3" s="213"/>
      <c r="H3" s="213"/>
      <c r="I3" s="52"/>
      <c r="J3" s="52"/>
      <c r="K3" s="52"/>
      <c r="L3" s="52"/>
      <c r="M3" s="52"/>
      <c r="N3" s="52"/>
      <c r="O3" s="52"/>
      <c r="P3" s="52"/>
    </row>
    <row r="4" spans="1:19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  <c r="M4" s="121"/>
      <c r="N4" s="121"/>
      <c r="O4" s="121"/>
      <c r="P4" s="121"/>
    </row>
    <row r="5" spans="1:19" s="56" customFormat="1" ht="14.25" customHeight="1">
      <c r="A5" s="53" t="s">
        <v>119</v>
      </c>
      <c r="B5" s="53"/>
      <c r="C5" s="53"/>
      <c r="D5" s="53"/>
      <c r="E5" s="210" t="s">
        <v>44</v>
      </c>
      <c r="F5" s="210"/>
      <c r="G5" s="210"/>
      <c r="H5" s="210"/>
      <c r="I5" s="54"/>
      <c r="J5" s="54"/>
      <c r="N5" s="79"/>
      <c r="O5" s="79"/>
      <c r="P5" s="79"/>
      <c r="Q5" s="79"/>
      <c r="R5" s="79"/>
      <c r="S5" s="79"/>
    </row>
    <row r="6" spans="1:19" s="56" customFormat="1" ht="14.25">
      <c r="A6" s="53" t="s">
        <v>46</v>
      </c>
      <c r="B6" s="53"/>
      <c r="C6" s="53"/>
      <c r="D6" s="53"/>
      <c r="E6" s="210"/>
      <c r="F6" s="210"/>
      <c r="G6" s="210"/>
      <c r="H6" s="210"/>
      <c r="I6" s="54"/>
      <c r="J6" s="54"/>
      <c r="N6" s="79"/>
      <c r="O6" s="79"/>
      <c r="P6" s="79"/>
      <c r="Q6" s="79"/>
      <c r="R6" s="79"/>
      <c r="S6" s="79"/>
    </row>
    <row r="7" spans="1:19" s="56" customFormat="1" ht="27" customHeight="1">
      <c r="A7" s="53" t="s">
        <v>206</v>
      </c>
      <c r="B7" s="53"/>
      <c r="C7" s="53"/>
      <c r="D7" s="53"/>
      <c r="E7" s="210"/>
      <c r="F7" s="210"/>
      <c r="G7" s="210"/>
      <c r="H7" s="210"/>
      <c r="I7" s="54"/>
      <c r="J7" s="54"/>
      <c r="N7" s="79"/>
      <c r="O7" s="79"/>
      <c r="P7" s="79"/>
      <c r="Q7" s="79"/>
      <c r="R7" s="79"/>
      <c r="S7" s="79"/>
    </row>
    <row r="8" spans="1:19" s="56" customFormat="1" ht="14.25">
      <c r="A8" s="53" t="s">
        <v>222</v>
      </c>
      <c r="B8" s="53"/>
      <c r="C8" s="53"/>
      <c r="D8" s="53"/>
      <c r="E8" s="54"/>
      <c r="F8" s="54"/>
      <c r="G8" s="54"/>
      <c r="H8" s="54"/>
      <c r="I8" s="55"/>
      <c r="J8" s="55"/>
      <c r="N8" s="79"/>
      <c r="O8" s="79"/>
      <c r="P8" s="79"/>
      <c r="Q8" s="79"/>
      <c r="R8" s="79"/>
      <c r="S8" s="79"/>
    </row>
    <row r="9" spans="1:19" s="56" customFormat="1" ht="14.25">
      <c r="A9" s="53" t="s">
        <v>47</v>
      </c>
      <c r="B9" s="53"/>
      <c r="C9" s="53"/>
      <c r="D9" s="53"/>
      <c r="E9" s="55" t="s">
        <v>162</v>
      </c>
      <c r="F9" s="54"/>
      <c r="G9" s="54"/>
      <c r="H9" s="54"/>
      <c r="I9" s="54"/>
      <c r="J9" s="54"/>
      <c r="N9" s="79"/>
      <c r="O9" s="79"/>
      <c r="P9" s="79"/>
      <c r="Q9" s="79"/>
      <c r="R9" s="79"/>
      <c r="S9" s="79"/>
    </row>
    <row r="10" spans="1:19" s="56" customFormat="1" ht="14.25">
      <c r="A10" s="53" t="s">
        <v>64</v>
      </c>
      <c r="B10" s="53"/>
      <c r="C10" s="53"/>
      <c r="D10" s="53"/>
      <c r="F10" s="55"/>
      <c r="G10" s="55"/>
      <c r="H10" s="55"/>
      <c r="I10" s="55"/>
      <c r="J10" s="55"/>
      <c r="N10" s="79"/>
      <c r="O10" s="79"/>
      <c r="P10" s="79"/>
      <c r="Q10" s="79"/>
      <c r="R10" s="79"/>
      <c r="S10" s="79"/>
    </row>
    <row r="11" spans="1:19" s="56" customFormat="1" ht="14.25">
      <c r="A11" s="53" t="s">
        <v>65</v>
      </c>
      <c r="B11" s="53"/>
      <c r="C11" s="53"/>
      <c r="D11" s="53"/>
      <c r="E11" s="53" t="s">
        <v>183</v>
      </c>
      <c r="F11" s="53"/>
      <c r="G11" s="53" t="s">
        <v>245</v>
      </c>
      <c r="I11" s="53"/>
      <c r="J11" s="53"/>
      <c r="N11" s="79"/>
      <c r="O11" s="79"/>
      <c r="P11" s="79"/>
      <c r="Q11" s="79"/>
      <c r="R11" s="79"/>
      <c r="S11" s="79"/>
    </row>
    <row r="12" spans="1:19" s="56" customFormat="1" ht="14.25">
      <c r="A12" s="53" t="s">
        <v>106</v>
      </c>
      <c r="B12" s="53"/>
      <c r="C12" s="53"/>
      <c r="D12" s="53"/>
      <c r="E12" s="53" t="s">
        <v>241</v>
      </c>
      <c r="F12" s="53"/>
      <c r="G12" s="53" t="s">
        <v>198</v>
      </c>
      <c r="I12" s="53"/>
      <c r="J12" s="53"/>
      <c r="N12" s="79"/>
      <c r="O12" s="79"/>
      <c r="P12" s="79"/>
      <c r="Q12" s="79"/>
      <c r="R12" s="79"/>
      <c r="S12" s="79"/>
    </row>
    <row r="13" spans="1:19" s="56" customFormat="1" ht="14.25">
      <c r="A13" s="53" t="s">
        <v>107</v>
      </c>
      <c r="B13" s="53"/>
      <c r="C13" s="53"/>
      <c r="D13" s="53"/>
      <c r="E13" s="53" t="s">
        <v>242</v>
      </c>
      <c r="F13" s="53"/>
      <c r="G13" s="53" t="s">
        <v>221</v>
      </c>
      <c r="I13" s="53"/>
      <c r="J13" s="53"/>
      <c r="N13" s="79"/>
      <c r="O13" s="79"/>
      <c r="P13" s="79"/>
      <c r="Q13" s="79"/>
      <c r="R13" s="79"/>
      <c r="S13" s="79"/>
    </row>
    <row r="14" spans="1:19" s="56" customFormat="1" ht="14.25">
      <c r="A14" s="53" t="s">
        <v>108</v>
      </c>
      <c r="B14" s="53"/>
      <c r="C14" s="53"/>
      <c r="D14" s="53"/>
      <c r="E14" s="53" t="s">
        <v>184</v>
      </c>
      <c r="F14" s="53"/>
      <c r="G14" s="53" t="s">
        <v>185</v>
      </c>
      <c r="I14" s="53"/>
      <c r="J14" s="53"/>
      <c r="N14" s="79"/>
      <c r="O14" s="79"/>
      <c r="P14" s="79"/>
      <c r="Q14" s="79"/>
      <c r="R14" s="79"/>
      <c r="S14" s="79"/>
    </row>
    <row r="15" spans="1:19" s="56" customFormat="1" ht="14.25">
      <c r="A15" s="53" t="s">
        <v>120</v>
      </c>
      <c r="B15" s="53"/>
      <c r="C15" s="53"/>
      <c r="D15" s="53"/>
      <c r="E15" s="53" t="s">
        <v>182</v>
      </c>
      <c r="F15" s="53"/>
      <c r="G15" s="53" t="s">
        <v>246</v>
      </c>
      <c r="I15" s="53"/>
      <c r="J15" s="53"/>
      <c r="N15" s="79"/>
      <c r="O15" s="79"/>
      <c r="P15" s="79"/>
      <c r="Q15" s="79"/>
      <c r="R15" s="79"/>
      <c r="S15" s="79"/>
    </row>
    <row r="16" spans="1:19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  <c r="M16" s="122"/>
      <c r="N16" s="122"/>
      <c r="O16" s="122"/>
      <c r="P16" s="122"/>
    </row>
    <row r="17" spans="1:25" ht="30" customHeight="1">
      <c r="A17" s="214" t="s">
        <v>260</v>
      </c>
      <c r="B17" s="214"/>
      <c r="C17" s="214"/>
      <c r="D17" s="214"/>
      <c r="E17" s="214"/>
      <c r="F17" s="214"/>
      <c r="G17" s="214"/>
      <c r="H17" s="214"/>
      <c r="I17" s="54"/>
      <c r="J17" s="54"/>
      <c r="K17" s="123"/>
      <c r="L17" s="123"/>
      <c r="M17" s="123"/>
      <c r="N17" s="123"/>
      <c r="O17" s="123"/>
      <c r="P17" s="123"/>
    </row>
    <row r="18" spans="1:2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  <c r="M18" s="123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148"/>
    </row>
    <row r="19" spans="1:25" ht="15.75">
      <c r="A19" s="194" t="s">
        <v>247</v>
      </c>
      <c r="B19" s="194"/>
      <c r="C19" s="194"/>
      <c r="D19" s="194"/>
      <c r="E19" s="194"/>
      <c r="F19" s="194"/>
      <c r="G19" s="194"/>
      <c r="H19" s="194"/>
      <c r="I19" s="124"/>
      <c r="J19" s="124"/>
      <c r="K19" s="124"/>
      <c r="L19" s="124"/>
      <c r="M19" s="124"/>
      <c r="N19" s="61"/>
      <c r="O19" s="61"/>
      <c r="P19" s="61"/>
      <c r="Q19" s="61"/>
      <c r="R19" s="61"/>
      <c r="S19" s="61"/>
      <c r="T19" s="61"/>
      <c r="U19" s="61"/>
      <c r="V19" s="61"/>
      <c r="W19" s="61"/>
      <c r="X19" s="61"/>
      <c r="Y19" s="78"/>
    </row>
    <row r="20" spans="1:25" ht="15">
      <c r="A20" s="60"/>
      <c r="B20" s="175"/>
      <c r="C20" s="175"/>
      <c r="D20" s="175"/>
      <c r="E20" s="175"/>
      <c r="F20" s="175"/>
      <c r="G20" s="60"/>
      <c r="H20" s="61" t="s">
        <v>163</v>
      </c>
      <c r="I20" s="176"/>
      <c r="J20" s="176"/>
      <c r="K20" s="123"/>
      <c r="M20" s="123"/>
      <c r="N20" s="78"/>
      <c r="P20" s="79"/>
      <c r="Q20" s="79"/>
      <c r="R20" s="79"/>
      <c r="S20" s="79"/>
      <c r="T20" s="78"/>
      <c r="U20" s="78"/>
      <c r="V20" s="215"/>
      <c r="W20" s="215"/>
      <c r="X20" s="78"/>
      <c r="Y20" s="78"/>
    </row>
    <row r="21" spans="1:25" s="56" customFormat="1" ht="15" customHeight="1">
      <c r="A21" s="177" t="s">
        <v>158</v>
      </c>
      <c r="B21" s="205"/>
      <c r="C21" s="208" t="s">
        <v>190</v>
      </c>
      <c r="D21" s="177" t="s">
        <v>159</v>
      </c>
      <c r="E21" s="177" t="s">
        <v>204</v>
      </c>
      <c r="F21" s="180" t="s">
        <v>248</v>
      </c>
      <c r="G21" s="198" t="s">
        <v>160</v>
      </c>
      <c r="H21" s="185" t="s">
        <v>161</v>
      </c>
      <c r="I21" s="126"/>
    </row>
    <row r="22" spans="1:25" s="56" customFormat="1" ht="15" customHeight="1">
      <c r="A22" s="178"/>
      <c r="B22" s="206"/>
      <c r="C22" s="208"/>
      <c r="D22" s="178"/>
      <c r="E22" s="178"/>
      <c r="F22" s="181"/>
      <c r="G22" s="199"/>
      <c r="H22" s="185"/>
      <c r="I22" s="126"/>
    </row>
    <row r="23" spans="1:25" s="56" customFormat="1" ht="90" customHeight="1">
      <c r="A23" s="179"/>
      <c r="B23" s="207"/>
      <c r="C23" s="208"/>
      <c r="D23" s="179"/>
      <c r="E23" s="179"/>
      <c r="F23" s="182"/>
      <c r="G23" s="200"/>
      <c r="H23" s="185"/>
      <c r="I23" s="126"/>
    </row>
    <row r="24" spans="1:25" s="127" customFormat="1" ht="14.25">
      <c r="A24" s="183">
        <v>82513.22</v>
      </c>
      <c r="B24" s="184"/>
      <c r="C24" s="62">
        <v>139921.20000000001</v>
      </c>
      <c r="D24" s="62">
        <v>140702.43</v>
      </c>
      <c r="E24" s="62">
        <v>34318.559999999998</v>
      </c>
      <c r="F24" s="63">
        <f>C24-D24</f>
        <v>-781.22999999998137</v>
      </c>
      <c r="G24" s="63">
        <v>151662</v>
      </c>
      <c r="H24" s="64">
        <f>A24+D24+E24-G24</f>
        <v>105872.20999999999</v>
      </c>
      <c r="J24" s="128"/>
    </row>
    <row r="25" spans="1:2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  <c r="M25" s="123"/>
      <c r="N25" s="123"/>
      <c r="O25" s="123"/>
      <c r="P25" s="123"/>
    </row>
    <row r="26" spans="1:25" ht="14.25">
      <c r="A26" s="53" t="s">
        <v>255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  <c r="O26" s="56"/>
      <c r="P26" s="56"/>
    </row>
    <row r="27" spans="1:25" ht="14.25">
      <c r="A27" s="53" t="s">
        <v>197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25" ht="15" customHeight="1">
      <c r="A28" s="214" t="s">
        <v>164</v>
      </c>
      <c r="B28" s="214"/>
      <c r="C28" s="214"/>
      <c r="D28" s="214"/>
      <c r="E28" s="214"/>
      <c r="F28" s="214"/>
      <c r="G28" s="214"/>
      <c r="H28" s="214"/>
      <c r="I28" s="54"/>
      <c r="J28" s="54"/>
      <c r="K28" s="54"/>
      <c r="L28" s="54"/>
      <c r="M28" s="54"/>
      <c r="N28" s="54"/>
      <c r="O28" s="54"/>
      <c r="P28" s="54"/>
    </row>
    <row r="29" spans="1:25" ht="14.25">
      <c r="A29" s="53" t="s">
        <v>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3"/>
      <c r="P29" s="53"/>
    </row>
    <row r="30" spans="1:2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  <c r="O30" s="66"/>
      <c r="P30" s="66"/>
    </row>
    <row r="31" spans="1:25" s="98" customFormat="1" ht="15.75">
      <c r="A31" s="186" t="s">
        <v>165</v>
      </c>
      <c r="B31" s="186"/>
      <c r="C31" s="186"/>
      <c r="D31" s="186"/>
      <c r="E31" s="186"/>
      <c r="F31" s="186"/>
      <c r="G31" s="186"/>
      <c r="H31" s="186"/>
      <c r="I31" s="186"/>
      <c r="J31" s="186"/>
    </row>
    <row r="32" spans="1:25" s="98" customFormat="1">
      <c r="A32" s="67"/>
      <c r="B32" s="68"/>
      <c r="C32" s="171"/>
      <c r="D32" s="171"/>
      <c r="E32" s="159"/>
      <c r="F32" s="159"/>
      <c r="G32" s="68"/>
      <c r="H32" s="69" t="s">
        <v>166</v>
      </c>
      <c r="I32" s="187"/>
      <c r="J32" s="187"/>
    </row>
    <row r="33" spans="1:16" s="98" customFormat="1" ht="15.75">
      <c r="A33" s="162" t="s">
        <v>62</v>
      </c>
      <c r="B33" s="163"/>
      <c r="C33" s="168" t="s">
        <v>237</v>
      </c>
      <c r="D33" s="169"/>
      <c r="E33" s="169"/>
      <c r="F33" s="169"/>
      <c r="G33" s="170"/>
      <c r="H33" s="70" t="s">
        <v>167</v>
      </c>
    </row>
    <row r="34" spans="1:16" s="98" customFormat="1" ht="15" customHeight="1">
      <c r="A34" s="158" t="s">
        <v>179</v>
      </c>
      <c r="B34" s="158"/>
      <c r="C34" s="149" t="s">
        <v>5</v>
      </c>
      <c r="D34" s="72"/>
      <c r="E34" s="72"/>
      <c r="F34" s="72"/>
      <c r="G34" s="72"/>
      <c r="H34" s="81">
        <f>10909+47966+3187+4371</f>
        <v>66433</v>
      </c>
    </row>
    <row r="35" spans="1:16" s="98" customFormat="1" ht="15" customHeight="1">
      <c r="A35" s="158"/>
      <c r="B35" s="158"/>
      <c r="C35" s="72" t="s">
        <v>230</v>
      </c>
      <c r="D35" s="72"/>
      <c r="E35" s="72"/>
      <c r="F35" s="72"/>
      <c r="G35" s="72"/>
      <c r="H35" s="81">
        <f>569+159+548</f>
        <v>1276</v>
      </c>
    </row>
    <row r="36" spans="1:16" s="98" customFormat="1" ht="15" customHeight="1">
      <c r="A36" s="158"/>
      <c r="B36" s="158"/>
      <c r="C36" s="72" t="s">
        <v>209</v>
      </c>
      <c r="D36" s="72"/>
      <c r="E36" s="72"/>
      <c r="F36" s="72"/>
      <c r="G36" s="72"/>
      <c r="H36" s="81">
        <f>3918+2915</f>
        <v>6833</v>
      </c>
    </row>
    <row r="37" spans="1:16" s="98" customFormat="1" ht="15" customHeight="1">
      <c r="A37" s="158"/>
      <c r="B37" s="158"/>
      <c r="C37" s="72" t="s">
        <v>262</v>
      </c>
      <c r="D37" s="72"/>
      <c r="E37" s="72"/>
      <c r="F37" s="72"/>
      <c r="G37" s="72"/>
      <c r="H37" s="81">
        <f>77120</f>
        <v>77120</v>
      </c>
    </row>
    <row r="38" spans="1:16" s="98" customFormat="1" ht="15">
      <c r="A38" s="158"/>
      <c r="B38" s="158"/>
      <c r="C38" s="131"/>
      <c r="D38" s="131"/>
      <c r="E38" s="131"/>
      <c r="F38" s="131"/>
      <c r="G38" s="131"/>
      <c r="H38" s="117">
        <f>SUM(H34:H37)</f>
        <v>151662</v>
      </c>
    </row>
    <row r="39" spans="1:16" s="98" customFormat="1" ht="15">
      <c r="A39" s="158"/>
      <c r="B39" s="158"/>
      <c r="C39" s="163" t="s">
        <v>238</v>
      </c>
      <c r="D39" s="163"/>
      <c r="E39" s="163"/>
      <c r="F39" s="163"/>
      <c r="G39" s="164"/>
      <c r="H39" s="117"/>
    </row>
    <row r="40" spans="1:16" s="98" customFormat="1" ht="15">
      <c r="A40" s="158"/>
      <c r="B40" s="158"/>
      <c r="C40" s="72" t="s">
        <v>209</v>
      </c>
      <c r="D40" s="131"/>
      <c r="E40" s="131"/>
      <c r="F40" s="131"/>
      <c r="G40" s="131"/>
      <c r="H40" s="81">
        <f>2879+8786+9310+1307+6510</f>
        <v>28792</v>
      </c>
    </row>
    <row r="41" spans="1:16" s="98" customFormat="1" ht="15" customHeight="1">
      <c r="A41" s="158"/>
      <c r="B41" s="158"/>
      <c r="C41" s="72" t="s">
        <v>227</v>
      </c>
      <c r="D41" s="72"/>
      <c r="E41" s="72"/>
      <c r="F41" s="72"/>
      <c r="G41" s="72"/>
      <c r="H41" s="81">
        <f>8000</f>
        <v>8000</v>
      </c>
    </row>
    <row r="42" spans="1:16" s="98" customFormat="1" ht="15" customHeight="1">
      <c r="A42" s="158"/>
      <c r="B42" s="158"/>
      <c r="C42" s="72" t="s">
        <v>263</v>
      </c>
      <c r="D42" s="72"/>
      <c r="E42" s="72"/>
      <c r="F42" s="72"/>
      <c r="G42" s="72"/>
      <c r="H42" s="81">
        <v>13500</v>
      </c>
    </row>
    <row r="43" spans="1:16" s="98" customFormat="1" ht="15" customHeight="1">
      <c r="A43" s="158"/>
      <c r="B43" s="158"/>
      <c r="C43" s="72" t="s">
        <v>262</v>
      </c>
      <c r="D43" s="72"/>
      <c r="E43" s="72"/>
      <c r="F43" s="72"/>
      <c r="G43" s="72"/>
      <c r="H43" s="81">
        <v>35000</v>
      </c>
    </row>
    <row r="44" spans="1:16" s="98" customFormat="1" ht="14.25" customHeight="1">
      <c r="A44" s="158"/>
      <c r="B44" s="158"/>
      <c r="C44" s="217" t="s">
        <v>1</v>
      </c>
      <c r="D44" s="217"/>
      <c r="E44" s="217"/>
      <c r="F44" s="217"/>
      <c r="G44" s="218"/>
      <c r="H44" s="81">
        <f>1063+5136+2463+269</f>
        <v>8931</v>
      </c>
    </row>
    <row r="45" spans="1:16">
      <c r="A45" s="78"/>
      <c r="B45" s="78"/>
      <c r="C45" s="78"/>
      <c r="D45" s="78"/>
      <c r="E45" s="79"/>
      <c r="F45" s="79"/>
      <c r="G45" s="79"/>
      <c r="H45" s="79"/>
      <c r="I45" s="79"/>
      <c r="J45" s="79"/>
    </row>
    <row r="46" spans="1:16" ht="42.75" customHeight="1">
      <c r="A46" s="214" t="s">
        <v>261</v>
      </c>
      <c r="B46" s="214"/>
      <c r="C46" s="214"/>
      <c r="D46" s="214"/>
      <c r="E46" s="214"/>
      <c r="F46" s="214"/>
      <c r="G46" s="214"/>
      <c r="H46" s="214"/>
      <c r="I46" s="54"/>
      <c r="J46" s="54"/>
    </row>
    <row r="47" spans="1:16">
      <c r="A47" s="78"/>
      <c r="B47" s="78"/>
      <c r="C47" s="78"/>
      <c r="D47" s="78"/>
      <c r="E47" s="79"/>
      <c r="F47" s="79"/>
      <c r="G47" s="79"/>
      <c r="H47" s="79"/>
      <c r="I47" s="79"/>
      <c r="J47" s="79"/>
    </row>
    <row r="48" spans="1:16" ht="33" customHeight="1">
      <c r="A48" s="160" t="s">
        <v>239</v>
      </c>
      <c r="B48" s="160"/>
      <c r="C48" s="160"/>
      <c r="D48" s="160"/>
      <c r="E48" s="160"/>
      <c r="F48" s="160"/>
      <c r="G48" s="160"/>
      <c r="H48" s="160"/>
      <c r="I48" s="132"/>
      <c r="J48" s="132"/>
      <c r="K48" s="124"/>
      <c r="L48" s="124"/>
      <c r="M48" s="124"/>
      <c r="N48" s="124"/>
      <c r="O48" s="124"/>
      <c r="P48" s="124"/>
    </row>
    <row r="49" spans="1:16" ht="15">
      <c r="A49" s="80"/>
      <c r="B49" s="80"/>
      <c r="C49" s="80"/>
      <c r="D49" s="80"/>
      <c r="E49" s="80"/>
      <c r="F49" s="80"/>
      <c r="G49" s="80"/>
      <c r="H49" s="89" t="s">
        <v>168</v>
      </c>
      <c r="J49" s="80"/>
      <c r="M49" s="80"/>
      <c r="N49" s="80"/>
      <c r="O49" s="80"/>
      <c r="P49" s="80"/>
    </row>
    <row r="50" spans="1:16" ht="15.75">
      <c r="A50" s="168" t="s">
        <v>62</v>
      </c>
      <c r="B50" s="170"/>
      <c r="C50" s="168" t="s">
        <v>237</v>
      </c>
      <c r="D50" s="169"/>
      <c r="E50" s="169"/>
      <c r="F50" s="169"/>
      <c r="G50" s="170"/>
      <c r="H50" s="70" t="s">
        <v>167</v>
      </c>
      <c r="I50" s="80"/>
      <c r="J50" s="80"/>
      <c r="K50" s="80"/>
      <c r="L50" s="80"/>
    </row>
    <row r="51" spans="1:16" ht="15" customHeight="1">
      <c r="A51" s="158" t="s">
        <v>179</v>
      </c>
      <c r="B51" s="158"/>
      <c r="C51" s="172" t="s">
        <v>192</v>
      </c>
      <c r="D51" s="173"/>
      <c r="E51" s="173"/>
      <c r="F51" s="173"/>
      <c r="G51" s="174"/>
      <c r="H51" s="81">
        <f>294+929+1206+716+371+781+1231+430+563+436</f>
        <v>6957</v>
      </c>
      <c r="I51" s="80"/>
      <c r="J51" s="80"/>
      <c r="K51" s="80"/>
      <c r="L51" s="80"/>
    </row>
    <row r="52" spans="1:16" ht="15" customHeight="1">
      <c r="A52" s="158"/>
      <c r="B52" s="158"/>
      <c r="C52" s="172" t="s">
        <v>224</v>
      </c>
      <c r="D52" s="173"/>
      <c r="E52" s="173"/>
      <c r="F52" s="173"/>
      <c r="G52" s="174"/>
      <c r="H52" s="81">
        <f>987+753+757</f>
        <v>2497</v>
      </c>
      <c r="I52" s="80"/>
      <c r="J52" s="80"/>
      <c r="K52" s="80"/>
      <c r="L52" s="80"/>
    </row>
    <row r="53" spans="1:16" ht="15" customHeight="1">
      <c r="A53" s="158"/>
      <c r="B53" s="158"/>
      <c r="C53" s="172" t="s">
        <v>225</v>
      </c>
      <c r="D53" s="173"/>
      <c r="E53" s="173"/>
      <c r="F53" s="173"/>
      <c r="G53" s="174"/>
      <c r="H53" s="81">
        <f>1349+1349</f>
        <v>2698</v>
      </c>
      <c r="I53" s="80"/>
      <c r="J53" s="80"/>
      <c r="K53" s="80"/>
      <c r="L53" s="80"/>
    </row>
    <row r="54" spans="1:16" ht="15" customHeight="1">
      <c r="A54" s="158"/>
      <c r="B54" s="158"/>
      <c r="C54" s="71" t="s">
        <v>147</v>
      </c>
      <c r="D54" s="82"/>
      <c r="E54" s="82"/>
      <c r="F54" s="82"/>
      <c r="G54" s="83"/>
      <c r="H54" s="81">
        <f>H75</f>
        <v>11188.174005358173</v>
      </c>
      <c r="I54" s="80"/>
      <c r="J54" s="80"/>
      <c r="K54" s="80"/>
      <c r="L54" s="80"/>
    </row>
    <row r="55" spans="1:16" ht="15">
      <c r="A55" s="158"/>
      <c r="B55" s="158"/>
      <c r="C55" s="162" t="s">
        <v>238</v>
      </c>
      <c r="D55" s="163"/>
      <c r="E55" s="163"/>
      <c r="F55" s="163"/>
      <c r="G55" s="164"/>
      <c r="H55" s="81"/>
      <c r="I55" s="80"/>
      <c r="J55" s="80"/>
      <c r="K55" s="80"/>
      <c r="L55" s="80"/>
    </row>
    <row r="56" spans="1:16" ht="14.25">
      <c r="A56" s="158"/>
      <c r="B56" s="158"/>
      <c r="C56" s="165" t="s">
        <v>169</v>
      </c>
      <c r="D56" s="166"/>
      <c r="E56" s="166"/>
      <c r="F56" s="166"/>
      <c r="G56" s="167"/>
      <c r="H56" s="84">
        <v>7998.68</v>
      </c>
      <c r="I56" s="79"/>
      <c r="J56" s="79"/>
    </row>
    <row r="57" spans="1:16" ht="15">
      <c r="A57" s="76"/>
      <c r="B57" s="76"/>
      <c r="C57" s="85"/>
      <c r="D57" s="85"/>
      <c r="E57" s="85"/>
      <c r="F57" s="85"/>
      <c r="G57" s="85"/>
      <c r="H57" s="134"/>
      <c r="I57" s="79"/>
      <c r="J57" s="79"/>
    </row>
    <row r="58" spans="1:16">
      <c r="A58" s="86" t="s">
        <v>67</v>
      </c>
      <c r="B58" s="86"/>
      <c r="C58" s="86"/>
      <c r="D58" s="86"/>
      <c r="E58" s="86"/>
      <c r="F58" s="86"/>
      <c r="G58" s="86"/>
      <c r="H58" s="86"/>
      <c r="I58" s="86"/>
      <c r="J58" s="86"/>
    </row>
    <row r="59" spans="1:16" ht="18" customHeight="1">
      <c r="A59" s="216" t="s">
        <v>61</v>
      </c>
      <c r="B59" s="216"/>
      <c r="C59" s="216"/>
      <c r="D59" s="216"/>
      <c r="E59" s="216"/>
      <c r="F59" s="216"/>
      <c r="G59" s="216"/>
      <c r="H59" s="216"/>
      <c r="I59" s="87"/>
      <c r="J59" s="87"/>
    </row>
    <row r="60" spans="1:16" ht="12" customHeight="1">
      <c r="A60" s="87"/>
      <c r="B60" s="87"/>
      <c r="C60" s="87"/>
      <c r="D60" s="87"/>
      <c r="E60" s="87"/>
      <c r="F60" s="87"/>
      <c r="G60" s="87"/>
      <c r="H60" s="87"/>
      <c r="I60" s="87"/>
      <c r="J60" s="87"/>
    </row>
    <row r="61" spans="1:16" ht="15.75">
      <c r="A61" s="194" t="s">
        <v>59</v>
      </c>
      <c r="B61" s="194"/>
      <c r="C61" s="194"/>
      <c r="D61" s="194"/>
      <c r="E61" s="194"/>
      <c r="F61" s="194"/>
      <c r="G61" s="194"/>
      <c r="H61" s="194"/>
      <c r="I61" s="124"/>
      <c r="J61" s="124"/>
    </row>
    <row r="62" spans="1:16" ht="15.75">
      <c r="A62" s="88"/>
      <c r="B62" s="88"/>
      <c r="C62" s="88"/>
      <c r="D62" s="88"/>
      <c r="E62" s="88"/>
      <c r="F62" s="88"/>
      <c r="G62" s="88"/>
      <c r="H62" s="89" t="s">
        <v>173</v>
      </c>
      <c r="J62" s="88"/>
    </row>
    <row r="63" spans="1:16" ht="15.75">
      <c r="A63" s="190" t="s">
        <v>60</v>
      </c>
      <c r="B63" s="190"/>
      <c r="C63" s="190"/>
      <c r="D63" s="190"/>
      <c r="E63" s="190"/>
      <c r="F63" s="190"/>
      <c r="G63" s="191"/>
      <c r="H63" s="90">
        <f>SUM(H73:H86)+H65+H72</f>
        <v>1429481.9500155202</v>
      </c>
      <c r="I63" s="133"/>
      <c r="J63" s="133"/>
    </row>
    <row r="64" spans="1:16" ht="15">
      <c r="A64" s="91" t="s">
        <v>49</v>
      </c>
      <c r="B64" s="195" t="s">
        <v>50</v>
      </c>
      <c r="C64" s="196"/>
      <c r="D64" s="196"/>
      <c r="E64" s="196"/>
      <c r="F64" s="196"/>
      <c r="G64" s="197"/>
      <c r="H64" s="92" t="s">
        <v>51</v>
      </c>
      <c r="I64" s="99"/>
    </row>
    <row r="65" spans="1:19" ht="15.75">
      <c r="A65" s="93" t="s">
        <v>52</v>
      </c>
      <c r="B65" s="71" t="s">
        <v>53</v>
      </c>
      <c r="C65" s="72"/>
      <c r="D65" s="72"/>
      <c r="E65" s="72"/>
      <c r="F65" s="72"/>
      <c r="G65" s="72"/>
      <c r="H65" s="94">
        <f>SUM(H66:H71)</f>
        <v>109734.31413275559</v>
      </c>
      <c r="I65" s="60"/>
      <c r="K65" s="134">
        <f>Основное!$C$9*Основное!K35</f>
        <v>0</v>
      </c>
    </row>
    <row r="66" spans="1:19" ht="15">
      <c r="A66" s="93"/>
      <c r="B66" s="71" t="s">
        <v>191</v>
      </c>
      <c r="C66" s="72"/>
      <c r="D66" s="72"/>
      <c r="E66" s="72"/>
      <c r="F66" s="72"/>
      <c r="G66" s="72"/>
      <c r="H66" s="84">
        <f>309+85+288</f>
        <v>682</v>
      </c>
      <c r="I66" s="60"/>
    </row>
    <row r="67" spans="1:19" ht="15">
      <c r="A67" s="93"/>
      <c r="B67" s="71" t="s">
        <v>39</v>
      </c>
      <c r="C67" s="72"/>
      <c r="D67" s="72"/>
      <c r="E67" s="72"/>
      <c r="F67" s="72"/>
      <c r="G67" s="72"/>
      <c r="H67" s="84">
        <f>9604+42940+3000+3700</f>
        <v>59244</v>
      </c>
      <c r="I67" s="60"/>
    </row>
    <row r="68" spans="1:19" ht="15">
      <c r="A68" s="93"/>
      <c r="B68" s="71" t="s">
        <v>196</v>
      </c>
      <c r="C68" s="72"/>
      <c r="D68" s="72"/>
      <c r="E68" s="72"/>
      <c r="F68" s="72"/>
      <c r="G68" s="72"/>
      <c r="H68" s="84">
        <f>2000+735</f>
        <v>2735</v>
      </c>
      <c r="I68" s="60"/>
    </row>
    <row r="69" spans="1:19" ht="15">
      <c r="A69" s="93"/>
      <c r="B69" s="71" t="s">
        <v>10</v>
      </c>
      <c r="C69" s="72"/>
      <c r="D69" s="72"/>
      <c r="E69" s="72"/>
      <c r="F69" s="72"/>
      <c r="G69" s="72"/>
      <c r="H69" s="84">
        <f>288+712+404</f>
        <v>1404</v>
      </c>
      <c r="I69" s="60"/>
    </row>
    <row r="70" spans="1:19" ht="15">
      <c r="A70" s="93"/>
      <c r="B70" s="71" t="s">
        <v>193</v>
      </c>
      <c r="C70" s="72"/>
      <c r="D70" s="72"/>
      <c r="E70" s="72"/>
      <c r="F70" s="72"/>
      <c r="G70" s="72"/>
      <c r="H70" s="84">
        <f>108+370+611+267+111+313+420+131+228+137</f>
        <v>2696</v>
      </c>
      <c r="I70" s="60"/>
    </row>
    <row r="71" spans="1:19" ht="46.5" customHeight="1">
      <c r="A71" s="93"/>
      <c r="B71" s="192" t="s">
        <v>40</v>
      </c>
      <c r="C71" s="193"/>
      <c r="D71" s="193"/>
      <c r="E71" s="193"/>
      <c r="F71" s="193"/>
      <c r="G71" s="193"/>
      <c r="H71" s="84">
        <f>Основное!C9*Основное!H35</f>
        <v>42973.314132755586</v>
      </c>
      <c r="I71" s="60"/>
    </row>
    <row r="72" spans="1:19" ht="15">
      <c r="A72" s="93" t="s">
        <v>54</v>
      </c>
      <c r="B72" s="71" t="s">
        <v>152</v>
      </c>
      <c r="C72" s="72"/>
      <c r="D72" s="72"/>
      <c r="E72" s="72"/>
      <c r="F72" s="72"/>
      <c r="G72" s="72"/>
      <c r="H72" s="84">
        <f>H37+Основное!$C$9*Основное!H37</f>
        <v>82673.389630154998</v>
      </c>
      <c r="I72" s="60"/>
    </row>
    <row r="73" spans="1:19" ht="15">
      <c r="A73" s="93" t="s">
        <v>21</v>
      </c>
      <c r="B73" s="71" t="s">
        <v>34</v>
      </c>
      <c r="C73" s="72"/>
      <c r="D73" s="72"/>
      <c r="E73" s="72"/>
      <c r="F73" s="72"/>
      <c r="G73" s="72"/>
      <c r="H73" s="84">
        <f>Основное!$C$9*Основное!H36</f>
        <v>8611.2755884569342</v>
      </c>
      <c r="I73" s="60"/>
    </row>
    <row r="74" spans="1:19" ht="15">
      <c r="A74" s="93" t="s">
        <v>22</v>
      </c>
      <c r="B74" s="71" t="s">
        <v>55</v>
      </c>
      <c r="C74" s="72"/>
      <c r="D74" s="72"/>
      <c r="E74" s="72"/>
      <c r="F74" s="72"/>
      <c r="G74" s="72"/>
      <c r="H74" s="84">
        <f>Основное!$C$9*Основное!H38</f>
        <v>3135.2771834966088</v>
      </c>
      <c r="I74" s="60"/>
    </row>
    <row r="75" spans="1:19" ht="15">
      <c r="A75" s="93" t="s">
        <v>23</v>
      </c>
      <c r="B75" s="71" t="s">
        <v>37</v>
      </c>
      <c r="C75" s="72"/>
      <c r="D75" s="72"/>
      <c r="E75" s="72"/>
      <c r="F75" s="72"/>
      <c r="G75" s="72"/>
      <c r="H75" s="84">
        <f>Основное!$C$9*Основное!H39</f>
        <v>11188.174005358173</v>
      </c>
      <c r="I75" s="60"/>
    </row>
    <row r="76" spans="1:19" ht="15">
      <c r="A76" s="93" t="s">
        <v>23</v>
      </c>
      <c r="B76" s="71" t="s">
        <v>19</v>
      </c>
      <c r="C76" s="72"/>
      <c r="D76" s="72"/>
      <c r="E76" s="72"/>
      <c r="F76" s="72"/>
      <c r="G76" s="72"/>
      <c r="H76" s="84">
        <f>Основное!$C$9*Основное!H40</f>
        <v>94801.846652112232</v>
      </c>
      <c r="I76" s="60"/>
    </row>
    <row r="77" spans="1:19" ht="15">
      <c r="A77" s="93" t="s">
        <v>24</v>
      </c>
      <c r="B77" s="71" t="s">
        <v>20</v>
      </c>
      <c r="C77" s="72"/>
      <c r="D77" s="72"/>
      <c r="E77" s="72"/>
      <c r="F77" s="72"/>
      <c r="G77" s="72"/>
      <c r="H77" s="84">
        <f>Основное!$C$9*Основное!H41</f>
        <v>4996.4252848087235</v>
      </c>
      <c r="I77" s="60"/>
      <c r="M77" s="86"/>
      <c r="N77" s="86"/>
      <c r="O77" s="86"/>
      <c r="P77" s="86"/>
      <c r="Q77" s="86"/>
      <c r="R77" s="86"/>
      <c r="S77" s="86"/>
    </row>
    <row r="78" spans="1:19" ht="15">
      <c r="A78" s="93" t="s">
        <v>25</v>
      </c>
      <c r="B78" s="71" t="s">
        <v>56</v>
      </c>
      <c r="C78" s="72"/>
      <c r="D78" s="72"/>
      <c r="E78" s="72"/>
      <c r="F78" s="72"/>
      <c r="G78" s="72"/>
      <c r="H78" s="84">
        <f>Основное!$C$9*Основное!H42</f>
        <v>94286.907244170841</v>
      </c>
      <c r="I78" s="60"/>
      <c r="M78" s="86"/>
      <c r="N78" s="86"/>
      <c r="O78" s="86"/>
      <c r="P78" s="86"/>
      <c r="Q78" s="86"/>
      <c r="R78" s="86"/>
      <c r="S78" s="86"/>
    </row>
    <row r="79" spans="1:19" ht="15">
      <c r="A79" s="93" t="s">
        <v>26</v>
      </c>
      <c r="B79" s="71" t="s">
        <v>148</v>
      </c>
      <c r="C79" s="72"/>
      <c r="D79" s="72"/>
      <c r="E79" s="72"/>
      <c r="F79" s="72"/>
      <c r="G79" s="72"/>
      <c r="H79" s="84">
        <f>Основное!$C$9*Основное!H43</f>
        <v>230951.98810825686</v>
      </c>
      <c r="I79" s="60"/>
      <c r="M79" s="86"/>
      <c r="N79" s="86"/>
      <c r="O79" s="86"/>
      <c r="P79" s="86"/>
      <c r="Q79" s="86"/>
      <c r="R79" s="86"/>
      <c r="S79" s="86"/>
    </row>
    <row r="80" spans="1:19" ht="15">
      <c r="A80" s="93" t="s">
        <v>27</v>
      </c>
      <c r="B80" s="71" t="s">
        <v>153</v>
      </c>
      <c r="C80" s="72"/>
      <c r="D80" s="72"/>
      <c r="E80" s="72"/>
      <c r="F80" s="72"/>
      <c r="G80" s="72"/>
      <c r="H80" s="84">
        <f>Основное!$C$9*Основное!H44</f>
        <v>24532.207388653085</v>
      </c>
      <c r="I80" s="60"/>
      <c r="M80" s="86"/>
      <c r="N80" s="86"/>
      <c r="O80" s="86"/>
      <c r="P80" s="86"/>
      <c r="Q80" s="86"/>
      <c r="R80" s="86"/>
      <c r="S80" s="86"/>
    </row>
    <row r="81" spans="1:19" ht="15">
      <c r="A81" s="93" t="s">
        <v>28</v>
      </c>
      <c r="B81" s="71" t="s">
        <v>146</v>
      </c>
      <c r="C81" s="72"/>
      <c r="D81" s="72"/>
      <c r="E81" s="72"/>
      <c r="F81" s="72"/>
      <c r="G81" s="72"/>
      <c r="H81" s="84">
        <f>Основное!$C$9*Основное!H45</f>
        <v>31659.34772536275</v>
      </c>
      <c r="I81" s="60"/>
      <c r="M81" s="86"/>
      <c r="N81" s="86"/>
      <c r="O81" s="86"/>
      <c r="P81" s="86"/>
      <c r="Q81" s="86"/>
      <c r="R81" s="86"/>
      <c r="S81" s="86"/>
    </row>
    <row r="82" spans="1:19" ht="15">
      <c r="A82" s="93" t="s">
        <v>29</v>
      </c>
      <c r="B82" s="71" t="s">
        <v>151</v>
      </c>
      <c r="C82" s="72"/>
      <c r="D82" s="72"/>
      <c r="E82" s="72"/>
      <c r="F82" s="72"/>
      <c r="G82" s="72"/>
      <c r="H82" s="84">
        <f>Основное!$C$9*Основное!H46</f>
        <v>12176.087481188217</v>
      </c>
      <c r="I82" s="60"/>
      <c r="M82" s="86"/>
      <c r="N82" s="86"/>
      <c r="O82" s="86"/>
      <c r="P82" s="86"/>
      <c r="Q82" s="86"/>
      <c r="R82" s="86"/>
      <c r="S82" s="86"/>
    </row>
    <row r="83" spans="1:19" ht="15">
      <c r="A83" s="93" t="s">
        <v>30</v>
      </c>
      <c r="B83" s="71" t="s">
        <v>57</v>
      </c>
      <c r="C83" s="72"/>
      <c r="D83" s="72"/>
      <c r="E83" s="72"/>
      <c r="F83" s="72"/>
      <c r="G83" s="72"/>
      <c r="H83" s="84">
        <f>Основное!$C$9*Основное!H47</f>
        <v>568653.35010232416</v>
      </c>
      <c r="I83" s="60"/>
      <c r="M83" s="86"/>
      <c r="N83" s="86"/>
      <c r="O83" s="86"/>
      <c r="P83" s="86"/>
      <c r="Q83" s="86"/>
      <c r="R83" s="86"/>
      <c r="S83" s="86"/>
    </row>
    <row r="84" spans="1:19" ht="15">
      <c r="A84" s="93" t="s">
        <v>31</v>
      </c>
      <c r="B84" s="71" t="s">
        <v>145</v>
      </c>
      <c r="C84" s="72"/>
      <c r="D84" s="72"/>
      <c r="E84" s="72"/>
      <c r="F84" s="72"/>
      <c r="G84" s="72"/>
      <c r="H84" s="84">
        <f>Основное!$C$9*Основное!H48</f>
        <v>114867.9767206695</v>
      </c>
      <c r="I84" s="60"/>
      <c r="M84" s="86"/>
      <c r="N84" s="86"/>
      <c r="O84" s="86"/>
      <c r="P84" s="86"/>
      <c r="Q84" s="86"/>
      <c r="R84" s="86"/>
      <c r="S84" s="86"/>
    </row>
    <row r="85" spans="1:19" ht="15">
      <c r="A85" s="93" t="s">
        <v>32</v>
      </c>
      <c r="B85" s="71" t="s">
        <v>140</v>
      </c>
      <c r="C85" s="72"/>
      <c r="D85" s="72"/>
      <c r="E85" s="72"/>
      <c r="F85" s="72"/>
      <c r="G85" s="72"/>
      <c r="H85" s="84">
        <f>Основное!$C$9*Основное!H49</f>
        <v>16639.770342213749</v>
      </c>
      <c r="I85" s="60"/>
      <c r="M85" s="86"/>
      <c r="N85" s="86"/>
      <c r="O85" s="86"/>
      <c r="P85" s="86"/>
      <c r="Q85" s="86"/>
      <c r="R85" s="86"/>
      <c r="S85" s="86"/>
    </row>
    <row r="86" spans="1:19" ht="15">
      <c r="A86" s="93" t="s">
        <v>33</v>
      </c>
      <c r="B86" s="71" t="s">
        <v>41</v>
      </c>
      <c r="C86" s="72"/>
      <c r="D86" s="72"/>
      <c r="E86" s="72"/>
      <c r="F86" s="72"/>
      <c r="G86" s="72"/>
      <c r="H86" s="84">
        <f>Основное!$C$9*Основное!H50</f>
        <v>20573.612425537845</v>
      </c>
      <c r="I86" s="60"/>
      <c r="M86" s="86"/>
      <c r="N86" s="86"/>
      <c r="O86" s="86"/>
      <c r="P86" s="86"/>
      <c r="Q86" s="86"/>
      <c r="R86" s="86"/>
      <c r="S86" s="86"/>
    </row>
    <row r="87" spans="1:19">
      <c r="A87" s="95"/>
      <c r="B87" s="95"/>
      <c r="C87" s="95"/>
      <c r="D87" s="95"/>
      <c r="E87" s="95"/>
      <c r="F87" s="95"/>
      <c r="G87" s="95"/>
      <c r="H87" s="96"/>
      <c r="I87" s="135"/>
      <c r="J87" s="135"/>
    </row>
    <row r="88" spans="1:19" s="98" customFormat="1" ht="26.25" customHeight="1">
      <c r="A88" s="209" t="s">
        <v>207</v>
      </c>
      <c r="B88" s="209"/>
      <c r="C88" s="209"/>
      <c r="D88" s="209"/>
      <c r="E88" s="209"/>
      <c r="F88" s="209"/>
      <c r="G88" s="209"/>
      <c r="H88" s="209"/>
      <c r="I88" s="136"/>
      <c r="J88" s="136"/>
    </row>
    <row r="89" spans="1:19" s="98" customFormat="1">
      <c r="A89" s="97"/>
      <c r="B89" s="189"/>
      <c r="C89" s="189"/>
      <c r="D89" s="189"/>
      <c r="E89" s="189"/>
      <c r="F89" s="189"/>
      <c r="G89" s="189"/>
      <c r="H89" s="189"/>
      <c r="I89" s="102"/>
      <c r="J89" s="102"/>
    </row>
    <row r="90" spans="1:19" s="98" customFormat="1" ht="15.75">
      <c r="A90" s="186" t="s">
        <v>219</v>
      </c>
      <c r="B90" s="186"/>
      <c r="C90" s="186"/>
      <c r="D90" s="186"/>
      <c r="E90" s="186"/>
      <c r="F90" s="186"/>
      <c r="G90" s="97"/>
      <c r="I90" s="97"/>
      <c r="J90" s="97"/>
    </row>
    <row r="91" spans="1:19" s="98" customFormat="1" ht="15">
      <c r="A91" s="99"/>
      <c r="B91" s="99"/>
      <c r="C91" s="99"/>
      <c r="D91" s="99"/>
      <c r="F91" s="101" t="s">
        <v>170</v>
      </c>
      <c r="H91" s="102"/>
      <c r="I91" s="102"/>
      <c r="J91" s="102"/>
    </row>
    <row r="92" spans="1:19" s="98" customFormat="1" ht="34.5" customHeight="1">
      <c r="A92" s="118" t="s">
        <v>194</v>
      </c>
      <c r="B92" s="103" t="s">
        <v>200</v>
      </c>
      <c r="C92" s="104" t="s">
        <v>171</v>
      </c>
      <c r="D92" s="105" t="s">
        <v>172</v>
      </c>
      <c r="E92" s="147" t="s">
        <v>201</v>
      </c>
      <c r="F92" s="106" t="s">
        <v>195</v>
      </c>
      <c r="G92" s="107"/>
      <c r="H92" s="108"/>
      <c r="I92" s="100"/>
      <c r="J92" s="102"/>
      <c r="K92" s="102"/>
      <c r="L92" s="102"/>
    </row>
    <row r="93" spans="1:19" s="98" customFormat="1" ht="15">
      <c r="A93" s="109">
        <v>2038.56</v>
      </c>
      <c r="B93" s="109">
        <v>8640</v>
      </c>
      <c r="C93" s="110">
        <v>8640</v>
      </c>
      <c r="D93" s="111">
        <v>12000</v>
      </c>
      <c r="E93" s="111">
        <v>3000</v>
      </c>
      <c r="F93" s="111">
        <f>SUM(A93:E93)</f>
        <v>34318.559999999998</v>
      </c>
      <c r="G93" s="112"/>
      <c r="H93" s="113"/>
      <c r="I93" s="102"/>
      <c r="J93" s="102"/>
    </row>
    <row r="94" spans="1:19" s="98" customFormat="1" ht="15">
      <c r="A94" s="114"/>
      <c r="B94" s="114"/>
      <c r="C94" s="115"/>
      <c r="D94" s="115"/>
      <c r="E94" s="115"/>
      <c r="F94" s="115"/>
      <c r="G94" s="100"/>
      <c r="H94" s="102"/>
      <c r="I94" s="102"/>
      <c r="J94" s="102"/>
    </row>
    <row r="95" spans="1:19" s="98" customFormat="1" ht="99" customHeight="1">
      <c r="A95" s="203" t="s">
        <v>249</v>
      </c>
      <c r="B95" s="203"/>
      <c r="C95" s="203"/>
      <c r="D95" s="203"/>
      <c r="E95" s="203"/>
      <c r="F95" s="203"/>
      <c r="G95" s="203"/>
      <c r="H95" s="203"/>
      <c r="I95" s="138"/>
      <c r="J95" s="138"/>
      <c r="K95" s="138"/>
      <c r="L95" s="138"/>
      <c r="M95" s="138"/>
    </row>
    <row r="96" spans="1:19" ht="62.25" customHeight="1">
      <c r="A96" s="204" t="s">
        <v>251</v>
      </c>
      <c r="B96" s="204"/>
      <c r="C96" s="204"/>
      <c r="D96" s="204"/>
      <c r="E96" s="204"/>
      <c r="F96" s="204"/>
      <c r="G96" s="204"/>
      <c r="H96" s="204"/>
      <c r="I96" s="139"/>
      <c r="J96" s="139"/>
      <c r="K96" s="139"/>
      <c r="L96" s="139"/>
      <c r="M96" s="139"/>
      <c r="N96" s="139"/>
      <c r="O96" s="139"/>
      <c r="P96" s="139"/>
    </row>
    <row r="97" spans="1:16">
      <c r="A97" s="116"/>
      <c r="B97" s="116"/>
      <c r="C97" s="116"/>
      <c r="D97" s="116"/>
      <c r="E97" s="116"/>
      <c r="F97" s="116"/>
      <c r="G97" s="116"/>
      <c r="H97" s="116"/>
      <c r="I97" s="116"/>
      <c r="J97" s="116"/>
      <c r="K97" s="116"/>
      <c r="L97" s="116"/>
      <c r="M97" s="116"/>
    </row>
    <row r="98" spans="1:16" ht="15">
      <c r="A98" s="188" t="s">
        <v>250</v>
      </c>
      <c r="B98" s="188"/>
      <c r="C98" s="188"/>
      <c r="D98" s="188"/>
      <c r="E98" s="188"/>
      <c r="F98" s="188"/>
      <c r="G98" s="188"/>
      <c r="H98" s="188"/>
      <c r="I98" s="140"/>
      <c r="J98" s="140"/>
      <c r="K98" s="141"/>
      <c r="L98" s="141"/>
      <c r="M98" s="141"/>
      <c r="N98" s="141"/>
      <c r="O98" s="141"/>
      <c r="P98" s="141"/>
    </row>
    <row r="99" spans="1:16" ht="15">
      <c r="A99" s="188" t="s">
        <v>156</v>
      </c>
      <c r="B99" s="188"/>
      <c r="C99" s="188"/>
      <c r="D99" s="188"/>
      <c r="E99" s="188"/>
      <c r="F99" s="188"/>
      <c r="G99" s="188"/>
      <c r="H99" s="188"/>
      <c r="I99" s="140"/>
      <c r="J99" s="140"/>
      <c r="K99" s="141"/>
      <c r="L99" s="141"/>
      <c r="M99" s="141"/>
      <c r="N99" s="141"/>
      <c r="O99" s="141"/>
      <c r="P99" s="141"/>
    </row>
    <row r="100" spans="1:16" ht="14.25">
      <c r="A100" s="202" t="s">
        <v>157</v>
      </c>
      <c r="B100" s="202"/>
      <c r="C100" s="202"/>
      <c r="D100" s="202"/>
      <c r="E100" s="202"/>
      <c r="F100" s="202"/>
      <c r="G100" s="202"/>
      <c r="H100" s="202"/>
      <c r="I100" s="142"/>
      <c r="J100" s="142"/>
      <c r="K100" s="142"/>
      <c r="L100" s="142"/>
      <c r="M100" s="142"/>
      <c r="N100" s="142"/>
      <c r="O100" s="142"/>
      <c r="P100" s="142"/>
    </row>
    <row r="101" spans="1:16" ht="15">
      <c r="A101" s="201" t="s">
        <v>42</v>
      </c>
      <c r="B101" s="201"/>
      <c r="C101" s="201"/>
      <c r="D101" s="201"/>
      <c r="E101" s="201"/>
      <c r="F101" s="201"/>
      <c r="G101" s="201"/>
      <c r="H101" s="201"/>
      <c r="I101" s="143"/>
      <c r="J101" s="143"/>
      <c r="K101" s="144"/>
      <c r="L101" s="144"/>
      <c r="M101" s="144"/>
      <c r="N101" s="144"/>
      <c r="O101" s="144"/>
      <c r="P101" s="144"/>
    </row>
    <row r="102" spans="1:16" ht="15">
      <c r="A102" s="211" t="s">
        <v>43</v>
      </c>
      <c r="B102" s="211"/>
      <c r="C102" s="211"/>
      <c r="D102" s="211"/>
      <c r="E102" s="211"/>
      <c r="F102" s="211"/>
      <c r="G102" s="211"/>
      <c r="H102" s="211"/>
      <c r="I102" s="145"/>
      <c r="J102" s="145"/>
      <c r="K102" s="146"/>
      <c r="L102" s="146"/>
      <c r="M102" s="146"/>
      <c r="N102" s="146"/>
      <c r="O102" s="146"/>
      <c r="P102" s="146"/>
    </row>
  </sheetData>
  <mergeCells count="52">
    <mergeCell ref="A95:H95"/>
    <mergeCell ref="A98:H98"/>
    <mergeCell ref="C53:G53"/>
    <mergeCell ref="A102:H102"/>
    <mergeCell ref="I32:J32"/>
    <mergeCell ref="A51:B56"/>
    <mergeCell ref="C55:G55"/>
    <mergeCell ref="A50:B50"/>
    <mergeCell ref="C50:G50"/>
    <mergeCell ref="A100:H100"/>
    <mergeCell ref="C39:G39"/>
    <mergeCell ref="C44:G44"/>
    <mergeCell ref="A90:F90"/>
    <mergeCell ref="A34:B44"/>
    <mergeCell ref="A33:B33"/>
    <mergeCell ref="C33:G33"/>
    <mergeCell ref="A1:H1"/>
    <mergeCell ref="A2:H2"/>
    <mergeCell ref="A3:H3"/>
    <mergeCell ref="A17:H17"/>
    <mergeCell ref="A19:H19"/>
    <mergeCell ref="E5:H7"/>
    <mergeCell ref="A101:H101"/>
    <mergeCell ref="B89:H89"/>
    <mergeCell ref="C51:G51"/>
    <mergeCell ref="A63:G63"/>
    <mergeCell ref="A99:H99"/>
    <mergeCell ref="C56:G56"/>
    <mergeCell ref="B64:G64"/>
    <mergeCell ref="B71:G71"/>
    <mergeCell ref="A61:H61"/>
    <mergeCell ref="A96:H96"/>
    <mergeCell ref="E21:E23"/>
    <mergeCell ref="C21:C23"/>
    <mergeCell ref="A24:B24"/>
    <mergeCell ref="A88:H88"/>
    <mergeCell ref="A48:H48"/>
    <mergeCell ref="A59:H59"/>
    <mergeCell ref="C52:G52"/>
    <mergeCell ref="A46:H46"/>
    <mergeCell ref="C32:D32"/>
    <mergeCell ref="E32:F32"/>
    <mergeCell ref="V20:W20"/>
    <mergeCell ref="A31:J31"/>
    <mergeCell ref="F21:F23"/>
    <mergeCell ref="G21:G23"/>
    <mergeCell ref="H21:H23"/>
    <mergeCell ref="A21:B23"/>
    <mergeCell ref="A28:H28"/>
    <mergeCell ref="B20:F20"/>
    <mergeCell ref="I20:J20"/>
    <mergeCell ref="D21:D23"/>
  </mergeCells>
  <phoneticPr fontId="5" type="noConversion"/>
  <hyperlinks>
    <hyperlink ref="B63" r:id="rId1" display="blgorod@rambler.ru,"/>
    <hyperlink ref="B64" r:id="rId2" display="blgorod@rambler.ru,"/>
    <hyperlink ref="A100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70" orientation="portrait" verticalDpi="360" r:id="rId4"/>
  <headerFooter alignWithMargins="0"/>
  <rowBreaks count="1" manualBreakCount="1">
    <brk id="59" max="7" man="1"/>
  </row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Лист11"/>
  <dimension ref="A1:R119"/>
  <sheetViews>
    <sheetView view="pageBreakPreview" topLeftCell="A58" zoomScaleSheetLayoutView="100" workbookViewId="0">
      <selection activeCell="H63" sqref="H63"/>
    </sheetView>
  </sheetViews>
  <sheetFormatPr defaultRowHeight="12.75"/>
  <cols>
    <col min="1" max="1" width="12" style="120" customWidth="1"/>
    <col min="2" max="2" width="12.28515625" style="120" customWidth="1"/>
    <col min="3" max="3" width="14.7109375" style="120" customWidth="1"/>
    <col min="4" max="4" width="12.7109375" style="120" customWidth="1"/>
    <col min="5" max="5" width="17.7109375" style="120" customWidth="1"/>
    <col min="6" max="6" width="13.85546875" style="120" customWidth="1"/>
    <col min="7" max="7" width="18.28515625" style="120" customWidth="1"/>
    <col min="8" max="8" width="14.140625" style="120" bestFit="1" customWidth="1"/>
    <col min="9" max="9" width="9.140625" style="120"/>
    <col min="10" max="10" width="7" style="120" customWidth="1"/>
    <col min="11" max="16384" width="9.140625" style="120"/>
  </cols>
  <sheetData>
    <row r="1" spans="1:16" ht="18">
      <c r="A1" s="212" t="s">
        <v>243</v>
      </c>
      <c r="B1" s="212"/>
      <c r="C1" s="212"/>
      <c r="D1" s="212"/>
      <c r="E1" s="212"/>
      <c r="F1" s="212"/>
      <c r="G1" s="212"/>
      <c r="H1" s="212"/>
      <c r="I1" s="119"/>
      <c r="J1" s="119"/>
      <c r="K1" s="119"/>
      <c r="L1" s="119"/>
      <c r="M1" s="119"/>
      <c r="N1" s="119"/>
      <c r="O1" s="119"/>
      <c r="P1" s="119"/>
    </row>
    <row r="2" spans="1:16" ht="18">
      <c r="A2" s="212" t="s">
        <v>180</v>
      </c>
      <c r="B2" s="212"/>
      <c r="C2" s="212"/>
      <c r="D2" s="212"/>
      <c r="E2" s="212"/>
      <c r="F2" s="212"/>
      <c r="G2" s="212"/>
      <c r="H2" s="212"/>
      <c r="I2" s="119"/>
      <c r="J2" s="119"/>
      <c r="K2" s="119"/>
      <c r="L2" s="119"/>
      <c r="M2" s="119"/>
      <c r="N2" s="119"/>
      <c r="O2" s="119"/>
      <c r="P2" s="119"/>
    </row>
    <row r="3" spans="1:16" ht="18">
      <c r="A3" s="213" t="s">
        <v>256</v>
      </c>
      <c r="B3" s="213"/>
      <c r="C3" s="213"/>
      <c r="D3" s="213"/>
      <c r="E3" s="213"/>
      <c r="F3" s="213"/>
      <c r="G3" s="213"/>
      <c r="H3" s="213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  <c r="M4" s="121"/>
      <c r="N4" s="121"/>
    </row>
    <row r="5" spans="1:16" s="56" customFormat="1" ht="14.25" customHeight="1">
      <c r="A5" s="53" t="s">
        <v>121</v>
      </c>
      <c r="B5" s="53"/>
      <c r="C5" s="53"/>
      <c r="D5" s="53"/>
      <c r="E5" s="214" t="s">
        <v>45</v>
      </c>
      <c r="F5" s="214"/>
      <c r="G5" s="214"/>
      <c r="H5" s="214"/>
      <c r="I5" s="54"/>
      <c r="J5" s="54"/>
    </row>
    <row r="6" spans="1:16" s="56" customFormat="1" ht="14.25">
      <c r="A6" s="53" t="s">
        <v>46</v>
      </c>
      <c r="B6" s="53"/>
      <c r="C6" s="53"/>
      <c r="D6" s="53"/>
      <c r="E6" s="214"/>
      <c r="F6" s="214"/>
      <c r="G6" s="214"/>
      <c r="H6" s="214"/>
      <c r="I6" s="54"/>
      <c r="J6" s="54"/>
    </row>
    <row r="7" spans="1:16" s="56" customFormat="1" ht="14.25">
      <c r="A7" s="53" t="s">
        <v>214</v>
      </c>
      <c r="B7" s="53"/>
      <c r="C7" s="53"/>
      <c r="D7" s="53"/>
      <c r="E7" s="214"/>
      <c r="F7" s="214"/>
      <c r="G7" s="214"/>
      <c r="H7" s="214"/>
      <c r="I7" s="54"/>
      <c r="J7" s="54"/>
    </row>
    <row r="8" spans="1:16" s="56" customFormat="1" ht="14.25">
      <c r="A8" s="53" t="s">
        <v>213</v>
      </c>
      <c r="B8" s="53"/>
      <c r="C8" s="53"/>
      <c r="D8" s="53"/>
      <c r="E8" s="214"/>
      <c r="F8" s="214"/>
      <c r="G8" s="214"/>
      <c r="H8" s="214"/>
      <c r="I8" s="55"/>
      <c r="J8" s="55"/>
    </row>
    <row r="9" spans="1:16" s="56" customFormat="1" ht="14.25">
      <c r="A9" s="53" t="s">
        <v>47</v>
      </c>
      <c r="B9" s="53"/>
      <c r="C9" s="53"/>
      <c r="D9" s="53"/>
      <c r="E9" s="55" t="s">
        <v>162</v>
      </c>
      <c r="F9" s="54"/>
      <c r="G9" s="54"/>
      <c r="H9" s="54"/>
      <c r="I9" s="54"/>
      <c r="J9" s="54"/>
    </row>
    <row r="10" spans="1:16" s="56" customFormat="1" ht="14.25">
      <c r="A10" s="53" t="s">
        <v>66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71</v>
      </c>
      <c r="B11" s="53"/>
      <c r="C11" s="53"/>
      <c r="D11" s="53"/>
      <c r="E11" s="53" t="s">
        <v>182</v>
      </c>
      <c r="F11" s="53"/>
      <c r="G11" s="53" t="s">
        <v>264</v>
      </c>
      <c r="H11" s="53"/>
      <c r="I11" s="53"/>
      <c r="J11" s="53"/>
    </row>
    <row r="12" spans="1:16" s="56" customFormat="1" ht="14.25">
      <c r="A12" s="53" t="s">
        <v>122</v>
      </c>
      <c r="B12" s="53"/>
      <c r="C12" s="53"/>
      <c r="D12" s="53"/>
      <c r="E12" s="53" t="s">
        <v>183</v>
      </c>
      <c r="F12" s="53"/>
      <c r="G12" s="53" t="s">
        <v>265</v>
      </c>
      <c r="H12" s="53"/>
      <c r="I12" s="53"/>
      <c r="J12" s="53"/>
    </row>
    <row r="13" spans="1:16" s="56" customFormat="1" ht="14.25">
      <c r="A13" s="53" t="s">
        <v>123</v>
      </c>
      <c r="B13" s="53"/>
      <c r="C13" s="53"/>
      <c r="D13" s="53"/>
      <c r="E13" s="53" t="s">
        <v>241</v>
      </c>
      <c r="F13" s="53"/>
      <c r="G13" s="53" t="s">
        <v>221</v>
      </c>
      <c r="H13" s="53"/>
      <c r="I13" s="53"/>
      <c r="J13" s="53"/>
    </row>
    <row r="14" spans="1:16" s="56" customFormat="1" ht="14.25">
      <c r="A14" s="53" t="s">
        <v>124</v>
      </c>
      <c r="B14" s="53"/>
      <c r="C14" s="53"/>
      <c r="D14" s="53"/>
      <c r="E14" s="53" t="s">
        <v>242</v>
      </c>
      <c r="F14" s="53"/>
      <c r="G14" s="53" t="s">
        <v>198</v>
      </c>
      <c r="H14" s="53"/>
      <c r="I14" s="53"/>
      <c r="J14" s="53"/>
    </row>
    <row r="15" spans="1:16" s="56" customFormat="1" ht="14.25">
      <c r="A15" s="53" t="s">
        <v>125</v>
      </c>
      <c r="B15" s="53"/>
      <c r="C15" s="53"/>
      <c r="D15" s="53"/>
      <c r="E15" s="65" t="s">
        <v>184</v>
      </c>
      <c r="F15" s="53"/>
      <c r="G15" s="53" t="s">
        <v>185</v>
      </c>
      <c r="H15" s="53"/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  <c r="M16" s="122"/>
      <c r="N16" s="122"/>
    </row>
    <row r="17" spans="1:15" ht="30" customHeight="1">
      <c r="A17" s="214" t="s">
        <v>266</v>
      </c>
      <c r="B17" s="214"/>
      <c r="C17" s="214"/>
      <c r="D17" s="214"/>
      <c r="E17" s="214"/>
      <c r="F17" s="214"/>
      <c r="G17" s="214"/>
      <c r="H17" s="214"/>
      <c r="I17" s="54"/>
      <c r="J17" s="54"/>
      <c r="K17" s="123"/>
      <c r="L17" s="123"/>
      <c r="M17" s="123"/>
      <c r="N17" s="123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  <c r="M18" s="123"/>
      <c r="N18" s="123"/>
    </row>
    <row r="19" spans="1:15" ht="15.75">
      <c r="A19" s="194" t="s">
        <v>247</v>
      </c>
      <c r="B19" s="194"/>
      <c r="C19" s="194"/>
      <c r="D19" s="194"/>
      <c r="E19" s="194"/>
      <c r="F19" s="194"/>
      <c r="G19" s="194"/>
      <c r="H19" s="194"/>
      <c r="I19" s="124"/>
      <c r="J19" s="124"/>
      <c r="K19" s="124"/>
      <c r="L19" s="124"/>
      <c r="M19" s="124"/>
      <c r="N19" s="124"/>
    </row>
    <row r="20" spans="1:15" ht="15.75">
      <c r="A20" s="60"/>
      <c r="B20" s="175"/>
      <c r="C20" s="175"/>
      <c r="D20" s="175"/>
      <c r="E20" s="175"/>
      <c r="F20" s="175"/>
      <c r="G20" s="60"/>
      <c r="H20" s="61" t="s">
        <v>163</v>
      </c>
      <c r="I20" s="176"/>
      <c r="J20" s="176"/>
      <c r="K20" s="123"/>
      <c r="L20" s="123"/>
      <c r="M20" s="125"/>
    </row>
    <row r="21" spans="1:15" s="56" customFormat="1" ht="15" customHeight="1">
      <c r="A21" s="177" t="s">
        <v>158</v>
      </c>
      <c r="B21" s="205"/>
      <c r="C21" s="208" t="s">
        <v>190</v>
      </c>
      <c r="D21" s="177" t="s">
        <v>159</v>
      </c>
      <c r="E21" s="177" t="s">
        <v>204</v>
      </c>
      <c r="F21" s="180" t="s">
        <v>248</v>
      </c>
      <c r="G21" s="198" t="s">
        <v>160</v>
      </c>
      <c r="H21" s="185" t="s">
        <v>161</v>
      </c>
      <c r="I21" s="126"/>
    </row>
    <row r="22" spans="1:15" s="56" customFormat="1" ht="15" customHeight="1">
      <c r="A22" s="178"/>
      <c r="B22" s="206"/>
      <c r="C22" s="208"/>
      <c r="D22" s="178"/>
      <c r="E22" s="178"/>
      <c r="F22" s="181"/>
      <c r="G22" s="199"/>
      <c r="H22" s="185"/>
      <c r="I22" s="126"/>
    </row>
    <row r="23" spans="1:15" s="56" customFormat="1" ht="90" customHeight="1">
      <c r="A23" s="179"/>
      <c r="B23" s="207"/>
      <c r="C23" s="208"/>
      <c r="D23" s="179"/>
      <c r="E23" s="179"/>
      <c r="F23" s="182"/>
      <c r="G23" s="200"/>
      <c r="H23" s="185"/>
      <c r="I23" s="126"/>
    </row>
    <row r="24" spans="1:15" s="127" customFormat="1" ht="14.25">
      <c r="A24" s="183">
        <v>57690.89</v>
      </c>
      <c r="B24" s="184"/>
      <c r="C24" s="62">
        <v>91644.21</v>
      </c>
      <c r="D24" s="62">
        <v>90033.15</v>
      </c>
      <c r="E24" s="62">
        <v>26456.880000000001</v>
      </c>
      <c r="F24" s="63">
        <f>C24-D24</f>
        <v>1611.0600000000122</v>
      </c>
      <c r="G24" s="63">
        <v>105383</v>
      </c>
      <c r="H24" s="64">
        <f>A24+D24+E24-G24</f>
        <v>68797.919999999984</v>
      </c>
      <c r="J24" s="128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  <c r="M25" s="123"/>
      <c r="N25" s="123"/>
    </row>
    <row r="26" spans="1:15" ht="14.25">
      <c r="A26" s="53" t="s">
        <v>254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</row>
    <row r="27" spans="1:15" ht="14.25">
      <c r="A27" s="53" t="s">
        <v>197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214" t="s">
        <v>164</v>
      </c>
      <c r="B28" s="214"/>
      <c r="C28" s="214"/>
      <c r="D28" s="214"/>
      <c r="E28" s="214"/>
      <c r="F28" s="214"/>
      <c r="G28" s="214"/>
      <c r="H28" s="214"/>
      <c r="I28" s="54"/>
      <c r="J28" s="54"/>
      <c r="K28" s="54"/>
      <c r="L28" s="54"/>
      <c r="M28" s="54"/>
      <c r="N28" s="54"/>
    </row>
    <row r="29" spans="1:15" ht="14.25">
      <c r="A29" s="53" t="s">
        <v>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5" s="98" customFormat="1" ht="15.75">
      <c r="A31" s="186" t="s">
        <v>165</v>
      </c>
      <c r="B31" s="186"/>
      <c r="C31" s="186"/>
      <c r="D31" s="186"/>
      <c r="E31" s="186"/>
      <c r="F31" s="186"/>
      <c r="G31" s="186"/>
      <c r="H31" s="186"/>
      <c r="I31" s="129"/>
      <c r="J31" s="129"/>
    </row>
    <row r="32" spans="1:15" s="98" customFormat="1">
      <c r="A32" s="67"/>
      <c r="B32" s="68"/>
      <c r="C32" s="171"/>
      <c r="D32" s="171"/>
      <c r="E32" s="159"/>
      <c r="F32" s="159"/>
      <c r="G32" s="68"/>
      <c r="H32" s="69" t="s">
        <v>166</v>
      </c>
      <c r="I32" s="187"/>
      <c r="J32" s="187"/>
    </row>
    <row r="33" spans="1:14" s="98" customFormat="1" ht="15.75">
      <c r="A33" s="162" t="s">
        <v>62</v>
      </c>
      <c r="B33" s="163"/>
      <c r="C33" s="168" t="s">
        <v>237</v>
      </c>
      <c r="D33" s="169"/>
      <c r="E33" s="169"/>
      <c r="F33" s="169"/>
      <c r="G33" s="170"/>
      <c r="H33" s="70" t="s">
        <v>167</v>
      </c>
    </row>
    <row r="34" spans="1:14" s="98" customFormat="1" ht="15" customHeight="1">
      <c r="A34" s="220" t="s">
        <v>181</v>
      </c>
      <c r="B34" s="221"/>
      <c r="C34" s="71" t="s">
        <v>231</v>
      </c>
      <c r="D34" s="72"/>
      <c r="E34" s="72"/>
      <c r="F34" s="72"/>
      <c r="G34" s="72"/>
      <c r="H34" s="73">
        <f>330+143+1216+126+78</f>
        <v>1893</v>
      </c>
    </row>
    <row r="35" spans="1:14" s="98" customFormat="1" ht="15" customHeight="1">
      <c r="A35" s="220"/>
      <c r="B35" s="221"/>
      <c r="C35" s="72" t="s">
        <v>267</v>
      </c>
      <c r="D35" s="72"/>
      <c r="E35" s="72"/>
      <c r="F35" s="72"/>
      <c r="G35" s="72"/>
      <c r="H35" s="73">
        <v>95976</v>
      </c>
    </row>
    <row r="36" spans="1:14" s="98" customFormat="1" ht="15" customHeight="1">
      <c r="A36" s="220"/>
      <c r="B36" s="221"/>
      <c r="C36" s="72" t="s">
        <v>7</v>
      </c>
      <c r="D36" s="72"/>
      <c r="E36" s="72"/>
      <c r="F36" s="72"/>
      <c r="G36" s="72"/>
      <c r="H36" s="73">
        <f>5626</f>
        <v>5626</v>
      </c>
    </row>
    <row r="37" spans="1:14" s="98" customFormat="1" ht="15" customHeight="1">
      <c r="A37" s="220"/>
      <c r="B37" s="221"/>
      <c r="C37" s="72" t="s">
        <v>209</v>
      </c>
      <c r="D37" s="72"/>
      <c r="E37" s="72"/>
      <c r="F37" s="72"/>
      <c r="G37" s="72"/>
      <c r="H37" s="73">
        <f>1888</f>
        <v>1888</v>
      </c>
    </row>
    <row r="38" spans="1:14" s="98" customFormat="1" ht="15" customHeight="1">
      <c r="A38" s="220"/>
      <c r="B38" s="221"/>
      <c r="C38" s="71"/>
      <c r="D38" s="72"/>
      <c r="E38" s="72"/>
      <c r="F38" s="72"/>
      <c r="G38" s="72"/>
      <c r="H38" s="74">
        <f>SUM(H34:H37)</f>
        <v>105383</v>
      </c>
    </row>
    <row r="39" spans="1:14" s="98" customFormat="1" ht="15" customHeight="1">
      <c r="A39" s="220"/>
      <c r="B39" s="221"/>
      <c r="C39" s="162" t="s">
        <v>238</v>
      </c>
      <c r="D39" s="163"/>
      <c r="E39" s="163"/>
      <c r="F39" s="163"/>
      <c r="G39" s="164"/>
      <c r="H39" s="73"/>
    </row>
    <row r="40" spans="1:14" s="98" customFormat="1" ht="15" customHeight="1">
      <c r="A40" s="220"/>
      <c r="B40" s="221"/>
      <c r="C40" s="150" t="s">
        <v>0</v>
      </c>
      <c r="D40" s="151"/>
      <c r="E40" s="151"/>
      <c r="F40" s="151"/>
      <c r="G40" s="151"/>
      <c r="H40" s="73">
        <v>5460.5</v>
      </c>
    </row>
    <row r="41" spans="1:14" s="98" customFormat="1" ht="15" customHeight="1">
      <c r="A41" s="220"/>
      <c r="B41" s="221"/>
      <c r="C41" s="150" t="s">
        <v>268</v>
      </c>
      <c r="D41" s="151"/>
      <c r="E41" s="151"/>
      <c r="F41" s="151"/>
      <c r="G41" s="151"/>
      <c r="H41" s="73">
        <v>9600</v>
      </c>
    </row>
    <row r="42" spans="1:14" s="98" customFormat="1" ht="15" customHeight="1">
      <c r="A42" s="220"/>
      <c r="B42" s="221"/>
      <c r="C42" s="71" t="s">
        <v>231</v>
      </c>
      <c r="D42" s="72"/>
      <c r="E42" s="72"/>
      <c r="F42" s="72"/>
      <c r="G42" s="72"/>
      <c r="H42" s="73">
        <f>269+4353</f>
        <v>4622</v>
      </c>
    </row>
    <row r="43" spans="1:14" s="98" customFormat="1" ht="15" customHeight="1">
      <c r="A43" s="220"/>
      <c r="B43" s="221"/>
      <c r="C43" s="72" t="s">
        <v>209</v>
      </c>
      <c r="D43" s="151"/>
      <c r="E43" s="151"/>
      <c r="F43" s="151"/>
      <c r="G43" s="151"/>
      <c r="H43" s="73">
        <f>6191+2412</f>
        <v>8603</v>
      </c>
    </row>
    <row r="44" spans="1:14" s="98" customFormat="1" ht="15">
      <c r="A44" s="222"/>
      <c r="B44" s="223"/>
      <c r="C44" s="72" t="s">
        <v>227</v>
      </c>
      <c r="D44" s="72"/>
      <c r="E44" s="72"/>
      <c r="F44" s="131"/>
      <c r="G44" s="131"/>
      <c r="H44" s="73">
        <f>22080+40640</f>
        <v>62720</v>
      </c>
    </row>
    <row r="45" spans="1:14">
      <c r="A45" s="78"/>
      <c r="B45" s="78"/>
      <c r="C45" s="78"/>
      <c r="D45" s="78"/>
      <c r="E45" s="79"/>
      <c r="F45" s="79"/>
      <c r="G45" s="79"/>
      <c r="H45" s="79"/>
      <c r="I45" s="79"/>
      <c r="J45" s="79"/>
    </row>
    <row r="46" spans="1:14" ht="42.75" customHeight="1">
      <c r="A46" s="214" t="s">
        <v>269</v>
      </c>
      <c r="B46" s="214"/>
      <c r="C46" s="214"/>
      <c r="D46" s="214"/>
      <c r="E46" s="214"/>
      <c r="F46" s="214"/>
      <c r="G46" s="214"/>
      <c r="H46" s="214"/>
      <c r="I46" s="54"/>
      <c r="J46" s="54"/>
    </row>
    <row r="47" spans="1:14">
      <c r="A47" s="78"/>
      <c r="B47" s="78"/>
      <c r="C47" s="78"/>
      <c r="D47" s="78"/>
      <c r="E47" s="79"/>
      <c r="F47" s="79"/>
      <c r="G47" s="79"/>
      <c r="H47" s="79"/>
      <c r="I47" s="79"/>
      <c r="J47" s="79"/>
    </row>
    <row r="48" spans="1:14" ht="33" customHeight="1">
      <c r="A48" s="160" t="s">
        <v>239</v>
      </c>
      <c r="B48" s="160"/>
      <c r="C48" s="160"/>
      <c r="D48" s="160"/>
      <c r="E48" s="160"/>
      <c r="F48" s="160"/>
      <c r="G48" s="160"/>
      <c r="H48" s="160"/>
      <c r="I48" s="132"/>
      <c r="J48" s="132"/>
      <c r="K48" s="124"/>
      <c r="L48" s="124"/>
      <c r="M48" s="124"/>
      <c r="N48" s="124"/>
    </row>
    <row r="49" spans="1:14" ht="15">
      <c r="A49" s="80"/>
      <c r="B49" s="80"/>
      <c r="C49" s="80"/>
      <c r="D49" s="80"/>
      <c r="E49" s="80"/>
      <c r="F49" s="80"/>
      <c r="G49" s="80"/>
      <c r="H49" s="89" t="s">
        <v>168</v>
      </c>
      <c r="J49" s="80"/>
      <c r="K49" s="80"/>
      <c r="L49" s="80"/>
      <c r="M49" s="80"/>
      <c r="N49" s="80"/>
    </row>
    <row r="50" spans="1:14" ht="15.75">
      <c r="A50" s="168" t="s">
        <v>62</v>
      </c>
      <c r="B50" s="170"/>
      <c r="C50" s="168" t="s">
        <v>237</v>
      </c>
      <c r="D50" s="169"/>
      <c r="E50" s="169"/>
      <c r="F50" s="169"/>
      <c r="G50" s="170"/>
      <c r="H50" s="70" t="s">
        <v>167</v>
      </c>
      <c r="I50" s="80"/>
      <c r="J50" s="80"/>
    </row>
    <row r="51" spans="1:14" ht="15" customHeight="1">
      <c r="A51" s="158" t="s">
        <v>181</v>
      </c>
      <c r="B51" s="158"/>
      <c r="C51" s="172" t="s">
        <v>192</v>
      </c>
      <c r="D51" s="173"/>
      <c r="E51" s="173"/>
      <c r="F51" s="173"/>
      <c r="G51" s="174"/>
      <c r="H51" s="81">
        <f>762+566</f>
        <v>1328</v>
      </c>
      <c r="I51" s="80"/>
      <c r="J51" s="80"/>
    </row>
    <row r="52" spans="1:14" ht="15" customHeight="1">
      <c r="A52" s="158"/>
      <c r="B52" s="158"/>
      <c r="C52" s="172" t="s">
        <v>225</v>
      </c>
      <c r="D52" s="173"/>
      <c r="E52" s="173"/>
      <c r="F52" s="173"/>
      <c r="G52" s="174"/>
      <c r="H52" s="81">
        <f>1015+1015</f>
        <v>2030</v>
      </c>
      <c r="I52" s="80"/>
      <c r="J52" s="80"/>
    </row>
    <row r="53" spans="1:14" ht="15" customHeight="1">
      <c r="A53" s="158"/>
      <c r="B53" s="158"/>
      <c r="C53" s="71" t="s">
        <v>147</v>
      </c>
      <c r="D53" s="82"/>
      <c r="E53" s="82"/>
      <c r="F53" s="82"/>
      <c r="G53" s="83"/>
      <c r="H53" s="81">
        <v>8307</v>
      </c>
      <c r="I53" s="80"/>
      <c r="J53" s="80"/>
      <c r="K53" s="80"/>
      <c r="L53" s="80"/>
    </row>
    <row r="54" spans="1:14" ht="15">
      <c r="A54" s="158"/>
      <c r="B54" s="158"/>
      <c r="C54" s="162" t="s">
        <v>238</v>
      </c>
      <c r="D54" s="163"/>
      <c r="E54" s="163"/>
      <c r="F54" s="163"/>
      <c r="G54" s="164"/>
      <c r="H54" s="81"/>
      <c r="I54" s="80"/>
      <c r="J54" s="80"/>
    </row>
    <row r="55" spans="1:14" ht="14.25">
      <c r="A55" s="158"/>
      <c r="B55" s="158"/>
      <c r="C55" s="165" t="s">
        <v>169</v>
      </c>
      <c r="D55" s="166"/>
      <c r="E55" s="166"/>
      <c r="F55" s="166"/>
      <c r="G55" s="167"/>
      <c r="H55" s="84">
        <v>6076.32</v>
      </c>
      <c r="I55" s="79"/>
      <c r="J55" s="79"/>
    </row>
    <row r="56" spans="1:14" ht="15">
      <c r="A56" s="76"/>
      <c r="B56" s="76"/>
      <c r="C56" s="85"/>
      <c r="D56" s="85"/>
      <c r="E56" s="85"/>
      <c r="F56" s="85"/>
      <c r="G56" s="85"/>
      <c r="H56" s="77"/>
      <c r="I56" s="79"/>
      <c r="J56" s="79"/>
    </row>
    <row r="57" spans="1:14">
      <c r="A57" s="86" t="s">
        <v>72</v>
      </c>
      <c r="B57" s="86"/>
      <c r="C57" s="86"/>
      <c r="D57" s="86"/>
      <c r="E57" s="86"/>
      <c r="F57" s="86"/>
      <c r="G57" s="86"/>
      <c r="H57" s="86"/>
      <c r="I57" s="86"/>
      <c r="J57" s="86"/>
    </row>
    <row r="58" spans="1:14" ht="18" customHeight="1">
      <c r="A58" s="216" t="s">
        <v>61</v>
      </c>
      <c r="B58" s="216"/>
      <c r="C58" s="216"/>
      <c r="D58" s="216"/>
      <c r="E58" s="216"/>
      <c r="F58" s="216"/>
      <c r="G58" s="216"/>
      <c r="H58" s="216"/>
      <c r="I58" s="87"/>
      <c r="J58" s="87"/>
    </row>
    <row r="59" spans="1:14" ht="12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</row>
    <row r="60" spans="1:14" ht="15.75">
      <c r="A60" s="194" t="s">
        <v>59</v>
      </c>
      <c r="B60" s="194"/>
      <c r="C60" s="194"/>
      <c r="D60" s="194"/>
      <c r="E60" s="194"/>
      <c r="F60" s="194"/>
      <c r="G60" s="194"/>
      <c r="H60" s="194"/>
      <c r="I60" s="194"/>
      <c r="J60" s="194"/>
    </row>
    <row r="61" spans="1:14" ht="15.75">
      <c r="A61" s="88"/>
      <c r="B61" s="88"/>
      <c r="C61" s="88"/>
      <c r="D61" s="88"/>
      <c r="E61" s="88"/>
      <c r="F61" s="88"/>
      <c r="G61" s="88"/>
      <c r="H61" s="89" t="s">
        <v>173</v>
      </c>
      <c r="J61" s="88"/>
    </row>
    <row r="62" spans="1:14" ht="15.75">
      <c r="A62" s="190" t="s">
        <v>60</v>
      </c>
      <c r="B62" s="190"/>
      <c r="C62" s="190"/>
      <c r="D62" s="190"/>
      <c r="E62" s="190"/>
      <c r="F62" s="190"/>
      <c r="G62" s="191"/>
      <c r="H62" s="90">
        <f>SUM(H71:H84)+H64+H70</f>
        <v>1035946.3361080821</v>
      </c>
      <c r="I62" s="133"/>
      <c r="J62" s="133"/>
    </row>
    <row r="63" spans="1:14" ht="15">
      <c r="A63" s="91" t="s">
        <v>49</v>
      </c>
      <c r="B63" s="195" t="s">
        <v>50</v>
      </c>
      <c r="C63" s="196"/>
      <c r="D63" s="196"/>
      <c r="E63" s="196"/>
      <c r="F63" s="196"/>
      <c r="G63" s="197"/>
      <c r="H63" s="92" t="s">
        <v>51</v>
      </c>
      <c r="I63" s="99"/>
    </row>
    <row r="64" spans="1:14" ht="15.75">
      <c r="A64" s="93" t="s">
        <v>52</v>
      </c>
      <c r="B64" s="71" t="s">
        <v>53</v>
      </c>
      <c r="C64" s="72"/>
      <c r="D64" s="72"/>
      <c r="E64" s="72"/>
      <c r="F64" s="72"/>
      <c r="G64" s="72"/>
      <c r="H64" s="94">
        <f>SUM(H65:H69)</f>
        <v>37671.509065718405</v>
      </c>
      <c r="I64" s="60"/>
      <c r="K64" s="134">
        <f>Основное!$C$10*Основное!K35</f>
        <v>0</v>
      </c>
    </row>
    <row r="65" spans="1:9" ht="15">
      <c r="A65" s="93"/>
      <c r="B65" s="71" t="s">
        <v>191</v>
      </c>
      <c r="C65" s="72"/>
      <c r="D65" s="72"/>
      <c r="E65" s="72"/>
      <c r="F65" s="72"/>
      <c r="G65" s="72"/>
      <c r="H65" s="84">
        <f>181+104+544+87+39</f>
        <v>955</v>
      </c>
      <c r="I65" s="60"/>
    </row>
    <row r="66" spans="1:9" ht="15">
      <c r="A66" s="93"/>
      <c r="B66" s="71" t="s">
        <v>223</v>
      </c>
      <c r="C66" s="72"/>
      <c r="D66" s="72"/>
      <c r="E66" s="72"/>
      <c r="F66" s="72"/>
      <c r="G66" s="72"/>
      <c r="H66" s="84">
        <f>3700</f>
        <v>3700</v>
      </c>
      <c r="I66" s="60"/>
    </row>
    <row r="67" spans="1:9" ht="15">
      <c r="A67" s="93"/>
      <c r="B67" s="71" t="s">
        <v>196</v>
      </c>
      <c r="C67" s="72"/>
      <c r="D67" s="72"/>
      <c r="E67" s="72"/>
      <c r="F67" s="72"/>
      <c r="G67" s="72"/>
      <c r="H67" s="84">
        <f>636</f>
        <v>636</v>
      </c>
      <c r="I67" s="60"/>
    </row>
    <row r="68" spans="1:9" ht="15">
      <c r="A68" s="93"/>
      <c r="B68" s="71" t="s">
        <v>193</v>
      </c>
      <c r="C68" s="72"/>
      <c r="D68" s="72"/>
      <c r="E68" s="72"/>
      <c r="F68" s="72"/>
      <c r="G68" s="72"/>
      <c r="H68" s="84">
        <f>315+157</f>
        <v>472</v>
      </c>
      <c r="I68" s="60"/>
    </row>
    <row r="69" spans="1:9" ht="49.5" customHeight="1">
      <c r="A69" s="93"/>
      <c r="B69" s="192" t="s">
        <v>40</v>
      </c>
      <c r="C69" s="193"/>
      <c r="D69" s="193"/>
      <c r="E69" s="193"/>
      <c r="F69" s="193"/>
      <c r="G69" s="193"/>
      <c r="H69" s="84">
        <f>Основное!C10*Основное!H35</f>
        <v>31908.509065718408</v>
      </c>
      <c r="I69" s="60"/>
    </row>
    <row r="70" spans="1:9" ht="15">
      <c r="A70" s="93" t="s">
        <v>54</v>
      </c>
      <c r="B70" s="71" t="s">
        <v>152</v>
      </c>
      <c r="C70" s="72"/>
      <c r="D70" s="72"/>
      <c r="E70" s="72"/>
      <c r="F70" s="72"/>
      <c r="G70" s="72"/>
      <c r="H70" s="84">
        <f>Основное!$C$10*Основное!H37</f>
        <v>4123.4981973196209</v>
      </c>
      <c r="I70" s="60"/>
    </row>
    <row r="71" spans="1:9" ht="15">
      <c r="A71" s="93" t="s">
        <v>21</v>
      </c>
      <c r="B71" s="71" t="s">
        <v>34</v>
      </c>
      <c r="C71" s="72"/>
      <c r="D71" s="72"/>
      <c r="E71" s="72"/>
      <c r="F71" s="72"/>
      <c r="G71" s="72"/>
      <c r="H71" s="84">
        <f>Основное!$C$10*Основное!H36</f>
        <v>6394.0371071412737</v>
      </c>
      <c r="I71" s="60"/>
    </row>
    <row r="72" spans="1:9" ht="15">
      <c r="A72" s="93" t="s">
        <v>22</v>
      </c>
      <c r="B72" s="71" t="s">
        <v>55</v>
      </c>
      <c r="C72" s="72"/>
      <c r="D72" s="72"/>
      <c r="E72" s="72"/>
      <c r="F72" s="72"/>
      <c r="G72" s="72"/>
      <c r="H72" s="84">
        <f>Основное!$C$10*Основное!H38</f>
        <v>2328.0033772607385</v>
      </c>
      <c r="I72" s="60"/>
    </row>
    <row r="73" spans="1:9" ht="15">
      <c r="A73" s="93" t="s">
        <v>23</v>
      </c>
      <c r="B73" s="71" t="s">
        <v>37</v>
      </c>
      <c r="C73" s="72"/>
      <c r="D73" s="72"/>
      <c r="E73" s="72"/>
      <c r="F73" s="72"/>
      <c r="G73" s="72"/>
      <c r="H73" s="84">
        <f>Основное!$C$10*Основное!H39</f>
        <v>8307.4335522726524</v>
      </c>
      <c r="I73" s="60"/>
    </row>
    <row r="74" spans="1:9" ht="15">
      <c r="A74" s="93" t="s">
        <v>24</v>
      </c>
      <c r="B74" s="71" t="s">
        <v>19</v>
      </c>
      <c r="C74" s="72"/>
      <c r="D74" s="72"/>
      <c r="E74" s="72"/>
      <c r="F74" s="72"/>
      <c r="G74" s="72"/>
      <c r="H74" s="84">
        <f>Основное!$C$10*Основное!H40</f>
        <v>70392.187439879868</v>
      </c>
      <c r="I74" s="60"/>
    </row>
    <row r="75" spans="1:9" ht="15">
      <c r="A75" s="93" t="s">
        <v>25</v>
      </c>
      <c r="B75" s="71" t="s">
        <v>20</v>
      </c>
      <c r="C75" s="72"/>
      <c r="D75" s="72"/>
      <c r="E75" s="72"/>
      <c r="F75" s="72"/>
      <c r="G75" s="72"/>
      <c r="H75" s="84">
        <f>Основное!$C$10*Основное!H41</f>
        <v>3709.9415000664922</v>
      </c>
      <c r="I75" s="60"/>
    </row>
    <row r="76" spans="1:9" ht="15">
      <c r="A76" s="93" t="s">
        <v>26</v>
      </c>
      <c r="B76" s="71" t="s">
        <v>56</v>
      </c>
      <c r="C76" s="72"/>
      <c r="D76" s="72"/>
      <c r="E76" s="72"/>
      <c r="F76" s="72"/>
      <c r="G76" s="72"/>
      <c r="H76" s="84">
        <f>Основное!$C$10*Основное!H42</f>
        <v>70009.835063802137</v>
      </c>
      <c r="I76" s="60"/>
    </row>
    <row r="77" spans="1:9" ht="15">
      <c r="A77" s="93" t="s">
        <v>27</v>
      </c>
      <c r="B77" s="71" t="s">
        <v>148</v>
      </c>
      <c r="C77" s="72"/>
      <c r="D77" s="72"/>
      <c r="E77" s="72"/>
      <c r="F77" s="72"/>
      <c r="G77" s="72"/>
      <c r="H77" s="84">
        <f>Основное!$C$10*Основное!H43</f>
        <v>171486.27596029115</v>
      </c>
      <c r="I77" s="60"/>
    </row>
    <row r="78" spans="1:9" ht="15">
      <c r="A78" s="93" t="s">
        <v>28</v>
      </c>
      <c r="B78" s="71" t="s">
        <v>153</v>
      </c>
      <c r="C78" s="72"/>
      <c r="D78" s="72"/>
      <c r="E78" s="72"/>
      <c r="F78" s="72"/>
      <c r="G78" s="72"/>
      <c r="H78" s="84">
        <f>Основное!$C$10*Основное!H44</f>
        <v>18215.633996593653</v>
      </c>
      <c r="I78" s="60"/>
    </row>
    <row r="79" spans="1:9" ht="15">
      <c r="A79" s="93" t="s">
        <v>29</v>
      </c>
      <c r="B79" s="71" t="s">
        <v>146</v>
      </c>
      <c r="C79" s="72"/>
      <c r="D79" s="72"/>
      <c r="E79" s="72"/>
      <c r="F79" s="72"/>
      <c r="G79" s="72"/>
      <c r="H79" s="84">
        <f>Основное!$C$10*Основное!H45</f>
        <v>23507.672244888865</v>
      </c>
      <c r="I79" s="60"/>
    </row>
    <row r="80" spans="1:9" ht="15">
      <c r="A80" s="93" t="s">
        <v>30</v>
      </c>
      <c r="B80" s="71" t="s">
        <v>151</v>
      </c>
      <c r="C80" s="72"/>
      <c r="D80" s="72"/>
      <c r="E80" s="72"/>
      <c r="F80" s="72"/>
      <c r="G80" s="72"/>
      <c r="H80" s="84">
        <f>Основное!$C$10*Основное!H46</f>
        <v>9040.9782354284871</v>
      </c>
      <c r="I80" s="60"/>
    </row>
    <row r="81" spans="1:16" ht="15">
      <c r="A81" s="93" t="s">
        <v>31</v>
      </c>
      <c r="B81" s="71" t="s">
        <v>57</v>
      </c>
      <c r="C81" s="72"/>
      <c r="D81" s="72"/>
      <c r="E81" s="72"/>
      <c r="F81" s="72"/>
      <c r="G81" s="72"/>
      <c r="H81" s="84">
        <f>Основное!$C$10*Основное!H47+63000</f>
        <v>485236.00723316259</v>
      </c>
      <c r="I81" s="60"/>
    </row>
    <row r="82" spans="1:16" ht="15">
      <c r="A82" s="93" t="s">
        <v>32</v>
      </c>
      <c r="B82" s="71" t="s">
        <v>145</v>
      </c>
      <c r="C82" s="72"/>
      <c r="D82" s="72"/>
      <c r="E82" s="72"/>
      <c r="F82" s="72"/>
      <c r="G82" s="72"/>
      <c r="H82" s="84">
        <f>Основное!$C$10*Основное!H48+12600</f>
        <v>97891.67346109885</v>
      </c>
      <c r="I82" s="60"/>
    </row>
    <row r="83" spans="1:16" ht="15">
      <c r="A83" s="93" t="s">
        <v>33</v>
      </c>
      <c r="B83" s="71" t="s">
        <v>140</v>
      </c>
      <c r="C83" s="72"/>
      <c r="D83" s="72"/>
      <c r="E83" s="72"/>
      <c r="F83" s="72"/>
      <c r="G83" s="72"/>
      <c r="H83" s="84">
        <f>Основное!$C$10*Основное!H49</f>
        <v>12355.348279068219</v>
      </c>
      <c r="I83" s="60"/>
    </row>
    <row r="84" spans="1:16" ht="15">
      <c r="A84" s="93" t="s">
        <v>36</v>
      </c>
      <c r="B84" s="71" t="s">
        <v>41</v>
      </c>
      <c r="C84" s="72"/>
      <c r="D84" s="72"/>
      <c r="E84" s="72"/>
      <c r="F84" s="72"/>
      <c r="G84" s="72"/>
      <c r="H84" s="84">
        <f>Основное!$C$10*Основное!H50</f>
        <v>15276.301394089292</v>
      </c>
      <c r="I84" s="60"/>
    </row>
    <row r="85" spans="1:16">
      <c r="A85" s="95"/>
      <c r="B85" s="95"/>
      <c r="C85" s="95"/>
      <c r="D85" s="95"/>
      <c r="E85" s="95"/>
      <c r="F85" s="95"/>
      <c r="G85" s="95"/>
      <c r="H85" s="96"/>
      <c r="I85" s="135"/>
      <c r="J85" s="135"/>
    </row>
    <row r="86" spans="1:16" s="98" customFormat="1" ht="26.25" customHeight="1">
      <c r="A86" s="224" t="s">
        <v>210</v>
      </c>
      <c r="B86" s="224"/>
      <c r="C86" s="224"/>
      <c r="D86" s="224"/>
      <c r="E86" s="224"/>
      <c r="F86" s="224"/>
      <c r="G86" s="224"/>
      <c r="H86" s="224"/>
      <c r="I86" s="136"/>
      <c r="J86" s="136"/>
    </row>
    <row r="87" spans="1:16" s="98" customFormat="1">
      <c r="A87" s="97"/>
      <c r="B87" s="189"/>
      <c r="C87" s="189"/>
      <c r="D87" s="189"/>
      <c r="E87" s="189"/>
      <c r="F87" s="189"/>
      <c r="G87" s="189"/>
      <c r="H87" s="189"/>
      <c r="I87" s="102"/>
      <c r="J87" s="102"/>
    </row>
    <row r="88" spans="1:16" s="98" customFormat="1" ht="15.75">
      <c r="A88" s="186" t="s">
        <v>219</v>
      </c>
      <c r="B88" s="186"/>
      <c r="C88" s="186"/>
      <c r="D88" s="186"/>
      <c r="E88" s="186"/>
      <c r="F88" s="186"/>
      <c r="G88" s="97"/>
      <c r="I88" s="97"/>
      <c r="J88" s="97"/>
    </row>
    <row r="89" spans="1:16" s="98" customFormat="1" ht="15">
      <c r="A89" s="99"/>
      <c r="B89" s="99"/>
      <c r="C89" s="99"/>
      <c r="D89" s="99"/>
      <c r="F89" s="101" t="s">
        <v>170</v>
      </c>
      <c r="H89" s="102"/>
      <c r="I89" s="102"/>
      <c r="J89" s="102"/>
    </row>
    <row r="90" spans="1:16" s="98" customFormat="1" ht="34.5" customHeight="1">
      <c r="A90" s="118" t="s">
        <v>194</v>
      </c>
      <c r="B90" s="103" t="s">
        <v>200</v>
      </c>
      <c r="C90" s="104" t="s">
        <v>171</v>
      </c>
      <c r="D90" s="105" t="s">
        <v>172</v>
      </c>
      <c r="E90" s="147" t="s">
        <v>201</v>
      </c>
      <c r="F90" s="106" t="s">
        <v>195</v>
      </c>
      <c r="G90" s="107"/>
      <c r="H90" s="108"/>
      <c r="I90" s="100"/>
      <c r="J90" s="102"/>
      <c r="K90" s="102"/>
      <c r="L90" s="102"/>
    </row>
    <row r="91" spans="1:16" s="98" customFormat="1" ht="15">
      <c r="A91" s="109">
        <v>1496.88</v>
      </c>
      <c r="B91" s="109">
        <v>6480</v>
      </c>
      <c r="C91" s="110">
        <v>6480</v>
      </c>
      <c r="D91" s="111">
        <v>6000</v>
      </c>
      <c r="E91" s="111">
        <v>6000</v>
      </c>
      <c r="F91" s="111">
        <f>SUM(A91:E91)</f>
        <v>26456.880000000001</v>
      </c>
      <c r="G91" s="112"/>
      <c r="H91" s="113"/>
      <c r="I91" s="102"/>
      <c r="J91" s="102"/>
    </row>
    <row r="92" spans="1:16" s="98" customFormat="1" ht="15">
      <c r="A92" s="114"/>
      <c r="B92" s="114"/>
      <c r="C92" s="115"/>
      <c r="D92" s="115"/>
      <c r="E92" s="115"/>
      <c r="F92" s="115"/>
      <c r="G92" s="100"/>
      <c r="H92" s="102"/>
      <c r="I92" s="102"/>
      <c r="J92" s="102"/>
    </row>
    <row r="93" spans="1:16" s="98" customFormat="1" ht="97.5" customHeight="1">
      <c r="A93" s="203" t="s">
        <v>249</v>
      </c>
      <c r="B93" s="203"/>
      <c r="C93" s="203"/>
      <c r="D93" s="203"/>
      <c r="E93" s="203"/>
      <c r="F93" s="203"/>
      <c r="G93" s="203"/>
      <c r="H93" s="203"/>
      <c r="I93" s="138"/>
      <c r="J93" s="138"/>
      <c r="K93" s="138"/>
      <c r="L93" s="138"/>
      <c r="M93" s="138"/>
    </row>
    <row r="94" spans="1:16" ht="62.25" customHeight="1">
      <c r="A94" s="204" t="s">
        <v>251</v>
      </c>
      <c r="B94" s="204"/>
      <c r="C94" s="204"/>
      <c r="D94" s="204"/>
      <c r="E94" s="204"/>
      <c r="F94" s="204"/>
      <c r="G94" s="204"/>
      <c r="H94" s="204"/>
      <c r="I94" s="139"/>
      <c r="J94" s="139"/>
      <c r="K94" s="139"/>
      <c r="L94" s="139"/>
      <c r="M94" s="139"/>
      <c r="N94" s="139"/>
      <c r="O94" s="139"/>
      <c r="P94" s="139"/>
    </row>
    <row r="95" spans="1:16">
      <c r="A95" s="116"/>
      <c r="B95" s="116"/>
      <c r="C95" s="116"/>
      <c r="D95" s="116"/>
      <c r="E95" s="116"/>
      <c r="F95" s="116"/>
      <c r="G95" s="116"/>
      <c r="H95" s="116"/>
      <c r="I95" s="116"/>
      <c r="J95" s="116"/>
      <c r="K95" s="116"/>
      <c r="L95" s="116"/>
      <c r="M95" s="116"/>
    </row>
    <row r="96" spans="1:16" ht="15">
      <c r="A96" s="188" t="s">
        <v>250</v>
      </c>
      <c r="B96" s="188"/>
      <c r="C96" s="188"/>
      <c r="D96" s="188"/>
      <c r="E96" s="188"/>
      <c r="F96" s="188"/>
      <c r="G96" s="188"/>
      <c r="H96" s="188"/>
      <c r="I96" s="140"/>
      <c r="J96" s="140"/>
      <c r="K96" s="141"/>
      <c r="L96" s="141"/>
      <c r="M96" s="141"/>
      <c r="N96" s="141"/>
      <c r="O96" s="141"/>
      <c r="P96" s="141"/>
    </row>
    <row r="97" spans="1:16" ht="15">
      <c r="A97" s="188" t="s">
        <v>156</v>
      </c>
      <c r="B97" s="188"/>
      <c r="C97" s="188"/>
      <c r="D97" s="188"/>
      <c r="E97" s="188"/>
      <c r="F97" s="188"/>
      <c r="G97" s="188"/>
      <c r="H97" s="188"/>
      <c r="I97" s="140"/>
      <c r="J97" s="140"/>
      <c r="K97" s="141"/>
      <c r="L97" s="141"/>
      <c r="M97" s="141"/>
      <c r="N97" s="141"/>
      <c r="O97" s="141"/>
      <c r="P97" s="141"/>
    </row>
    <row r="98" spans="1:16" ht="14.25">
      <c r="A98" s="202" t="s">
        <v>157</v>
      </c>
      <c r="B98" s="202"/>
      <c r="C98" s="202"/>
      <c r="D98" s="202"/>
      <c r="E98" s="202"/>
      <c r="F98" s="202"/>
      <c r="G98" s="202"/>
      <c r="H98" s="202"/>
      <c r="I98" s="142"/>
      <c r="J98" s="142"/>
      <c r="K98" s="142"/>
      <c r="L98" s="142"/>
      <c r="M98" s="142"/>
      <c r="N98" s="142"/>
      <c r="O98" s="142"/>
      <c r="P98" s="142"/>
    </row>
    <row r="99" spans="1:16" ht="15">
      <c r="A99" s="201" t="s">
        <v>42</v>
      </c>
      <c r="B99" s="201"/>
      <c r="C99" s="201"/>
      <c r="D99" s="201"/>
      <c r="E99" s="201"/>
      <c r="F99" s="201"/>
      <c r="G99" s="201"/>
      <c r="H99" s="201"/>
      <c r="I99" s="143"/>
      <c r="J99" s="143"/>
      <c r="K99" s="144"/>
      <c r="L99" s="144"/>
      <c r="M99" s="144"/>
      <c r="N99" s="144"/>
      <c r="O99" s="144"/>
      <c r="P99" s="144"/>
    </row>
    <row r="100" spans="1:16" ht="15">
      <c r="A100" s="211" t="s">
        <v>43</v>
      </c>
      <c r="B100" s="211"/>
      <c r="C100" s="211"/>
      <c r="D100" s="211"/>
      <c r="E100" s="211"/>
      <c r="F100" s="211"/>
      <c r="G100" s="211"/>
      <c r="H100" s="211"/>
      <c r="I100" s="145"/>
      <c r="J100" s="145"/>
      <c r="K100" s="146"/>
      <c r="L100" s="146"/>
      <c r="M100" s="146"/>
      <c r="N100" s="146"/>
      <c r="O100" s="146"/>
      <c r="P100" s="146"/>
    </row>
    <row r="107" spans="1:16">
      <c r="G107" s="86"/>
      <c r="H107" s="86"/>
      <c r="I107" s="86"/>
      <c r="J107" s="86"/>
      <c r="K107" s="86"/>
      <c r="L107" s="86"/>
      <c r="M107" s="86"/>
    </row>
    <row r="108" spans="1:16">
      <c r="G108" s="86"/>
      <c r="H108" s="86"/>
      <c r="I108" s="86"/>
      <c r="J108" s="86"/>
      <c r="K108" s="86"/>
      <c r="L108" s="86"/>
      <c r="M108" s="86"/>
    </row>
    <row r="109" spans="1:16">
      <c r="G109" s="86"/>
      <c r="H109" s="86"/>
      <c r="I109" s="86"/>
      <c r="J109" s="86"/>
      <c r="K109" s="86"/>
      <c r="L109" s="86"/>
      <c r="M109" s="86"/>
    </row>
    <row r="110" spans="1:16">
      <c r="G110" s="86"/>
      <c r="H110" s="86"/>
      <c r="I110" s="86"/>
      <c r="J110" s="86"/>
      <c r="K110" s="86"/>
      <c r="L110" s="86"/>
      <c r="M110" s="86"/>
    </row>
    <row r="111" spans="1:16">
      <c r="G111" s="86"/>
      <c r="H111" s="86"/>
      <c r="I111" s="86"/>
      <c r="J111" s="86"/>
      <c r="K111" s="86"/>
      <c r="L111" s="86"/>
      <c r="M111" s="86"/>
    </row>
    <row r="112" spans="1:16">
      <c r="G112" s="86"/>
      <c r="H112" s="86"/>
      <c r="I112" s="86"/>
      <c r="J112" s="86"/>
      <c r="K112" s="86"/>
      <c r="L112" s="86"/>
      <c r="M112" s="86"/>
    </row>
    <row r="113" spans="7:18">
      <c r="G113" s="86"/>
      <c r="H113" s="86"/>
      <c r="I113" s="86"/>
      <c r="J113" s="86"/>
      <c r="K113" s="86"/>
      <c r="L113" s="86"/>
      <c r="M113" s="86"/>
    </row>
    <row r="114" spans="7:18">
      <c r="G114" s="86"/>
      <c r="H114" s="86"/>
      <c r="I114" s="86"/>
      <c r="J114" s="86"/>
      <c r="K114" s="86"/>
      <c r="L114" s="86"/>
      <c r="M114" s="86"/>
    </row>
    <row r="115" spans="7:18">
      <c r="G115" s="86"/>
      <c r="H115" s="86"/>
      <c r="I115" s="86"/>
      <c r="J115" s="86"/>
      <c r="K115" s="86"/>
      <c r="L115" s="86"/>
      <c r="M115" s="86"/>
    </row>
    <row r="116" spans="7:18">
      <c r="G116" s="86"/>
      <c r="H116" s="86"/>
      <c r="I116" s="86"/>
      <c r="J116" s="86"/>
      <c r="K116" s="86"/>
      <c r="L116" s="86"/>
      <c r="M116" s="86"/>
    </row>
    <row r="119" spans="7:18">
      <c r="G119" s="219"/>
      <c r="H119" s="219"/>
      <c r="I119" s="219"/>
      <c r="J119" s="219"/>
      <c r="K119" s="219"/>
      <c r="L119" s="219"/>
      <c r="M119" s="219"/>
      <c r="N119" s="219"/>
      <c r="O119" s="219"/>
      <c r="P119" s="219"/>
      <c r="Q119" s="219"/>
      <c r="R119" s="219"/>
    </row>
  </sheetData>
  <mergeCells count="50">
    <mergeCell ref="A93:H93"/>
    <mergeCell ref="A94:H94"/>
    <mergeCell ref="A96:H96"/>
    <mergeCell ref="A86:H86"/>
    <mergeCell ref="A97:H97"/>
    <mergeCell ref="A33:B33"/>
    <mergeCell ref="A50:B50"/>
    <mergeCell ref="A46:H46"/>
    <mergeCell ref="A48:H48"/>
    <mergeCell ref="C39:G39"/>
    <mergeCell ref="C51:G51"/>
    <mergeCell ref="A60:J60"/>
    <mergeCell ref="A34:B44"/>
    <mergeCell ref="C50:G50"/>
    <mergeCell ref="A1:H1"/>
    <mergeCell ref="A2:H2"/>
    <mergeCell ref="A3:H3"/>
    <mergeCell ref="E5:H8"/>
    <mergeCell ref="A28:H28"/>
    <mergeCell ref="A17:H17"/>
    <mergeCell ref="A19:H19"/>
    <mergeCell ref="E21:E23"/>
    <mergeCell ref="H21:H23"/>
    <mergeCell ref="I32:J32"/>
    <mergeCell ref="C33:G33"/>
    <mergeCell ref="C52:G52"/>
    <mergeCell ref="A24:B24"/>
    <mergeCell ref="C32:D32"/>
    <mergeCell ref="E32:F32"/>
    <mergeCell ref="A51:B55"/>
    <mergeCell ref="C54:G54"/>
    <mergeCell ref="C55:G55"/>
    <mergeCell ref="A31:H31"/>
    <mergeCell ref="G119:R119"/>
    <mergeCell ref="A58:H58"/>
    <mergeCell ref="A62:G62"/>
    <mergeCell ref="B69:G69"/>
    <mergeCell ref="B63:G63"/>
    <mergeCell ref="B87:H87"/>
    <mergeCell ref="A98:H98"/>
    <mergeCell ref="A88:F88"/>
    <mergeCell ref="A99:H99"/>
    <mergeCell ref="A100:H100"/>
    <mergeCell ref="B20:F20"/>
    <mergeCell ref="I20:J20"/>
    <mergeCell ref="A21:B23"/>
    <mergeCell ref="C21:C23"/>
    <mergeCell ref="F21:F23"/>
    <mergeCell ref="G21:G23"/>
    <mergeCell ref="D21:D23"/>
  </mergeCells>
  <phoneticPr fontId="5" type="noConversion"/>
  <hyperlinks>
    <hyperlink ref="B63" r:id="rId1" display="blgorod@rambler.ru,"/>
    <hyperlink ref="B62" r:id="rId2" display="blgorod@rambler.ru,"/>
    <hyperlink ref="A98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3" orientation="portrait" verticalDpi="360" r:id="rId4"/>
  <headerFooter alignWithMargins="0"/>
  <rowBreaks count="1" manualBreakCount="1">
    <brk id="59" max="7" man="1"/>
  </rowBreaks>
</worksheet>
</file>

<file path=xl/worksheets/sheet6.xml><?xml version="1.0" encoding="utf-8"?>
<worksheet xmlns="http://schemas.openxmlformats.org/spreadsheetml/2006/main" xmlns:r="http://schemas.openxmlformats.org/officeDocument/2006/relationships">
  <sheetPr codeName="Лист12"/>
  <dimension ref="A1:P101"/>
  <sheetViews>
    <sheetView view="pageBreakPreview" topLeftCell="A63" zoomScaleSheetLayoutView="100" workbookViewId="0">
      <selection activeCell="H63" sqref="H63"/>
    </sheetView>
  </sheetViews>
  <sheetFormatPr defaultRowHeight="12.75"/>
  <cols>
    <col min="1" max="1" width="12.85546875" style="120" customWidth="1"/>
    <col min="2" max="2" width="12.7109375" style="120" customWidth="1"/>
    <col min="3" max="3" width="14.7109375" style="120" customWidth="1"/>
    <col min="4" max="4" width="13.140625" style="120" customWidth="1"/>
    <col min="5" max="5" width="17.5703125" style="120" customWidth="1"/>
    <col min="6" max="6" width="14.42578125" style="120" customWidth="1"/>
    <col min="7" max="7" width="16.42578125" style="120" customWidth="1"/>
    <col min="8" max="8" width="14.140625" style="120" bestFit="1" customWidth="1"/>
    <col min="9" max="9" width="9.140625" style="120"/>
    <col min="10" max="10" width="7" style="120" customWidth="1"/>
    <col min="11" max="16384" width="9.140625" style="120"/>
  </cols>
  <sheetData>
    <row r="1" spans="1:16" ht="18">
      <c r="A1" s="212" t="s">
        <v>243</v>
      </c>
      <c r="B1" s="212"/>
      <c r="C1" s="212"/>
      <c r="D1" s="212"/>
      <c r="E1" s="212"/>
      <c r="F1" s="212"/>
      <c r="G1" s="212"/>
      <c r="H1" s="212"/>
      <c r="I1" s="119"/>
      <c r="J1" s="119"/>
      <c r="K1" s="119"/>
      <c r="L1" s="119"/>
      <c r="M1" s="119"/>
      <c r="N1" s="119"/>
      <c r="O1" s="119"/>
      <c r="P1" s="119"/>
    </row>
    <row r="2" spans="1:16" ht="18">
      <c r="A2" s="212" t="s">
        <v>186</v>
      </c>
      <c r="B2" s="212"/>
      <c r="C2" s="212"/>
      <c r="D2" s="212"/>
      <c r="E2" s="212"/>
      <c r="F2" s="212"/>
      <c r="G2" s="212"/>
      <c r="H2" s="212"/>
      <c r="I2" s="119"/>
      <c r="J2" s="119"/>
      <c r="K2" s="119"/>
      <c r="L2" s="119"/>
      <c r="M2" s="119"/>
      <c r="N2" s="119"/>
      <c r="O2" s="119"/>
      <c r="P2" s="119"/>
    </row>
    <row r="3" spans="1:16" ht="18">
      <c r="A3" s="213" t="s">
        <v>256</v>
      </c>
      <c r="B3" s="213"/>
      <c r="C3" s="213"/>
      <c r="D3" s="213"/>
      <c r="E3" s="213"/>
      <c r="F3" s="213"/>
      <c r="G3" s="213"/>
      <c r="H3" s="213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  <c r="M4" s="121"/>
      <c r="N4" s="121"/>
    </row>
    <row r="5" spans="1:16" s="56" customFormat="1" ht="14.25" customHeight="1">
      <c r="A5" s="53" t="s">
        <v>126</v>
      </c>
      <c r="B5" s="53"/>
      <c r="C5" s="53"/>
      <c r="D5" s="53"/>
      <c r="E5" s="210" t="s">
        <v>44</v>
      </c>
      <c r="F5" s="210"/>
      <c r="G5" s="210"/>
      <c r="H5" s="210"/>
      <c r="I5" s="54"/>
      <c r="J5" s="54"/>
    </row>
    <row r="6" spans="1:16" s="56" customFormat="1" ht="14.25">
      <c r="A6" s="53" t="s">
        <v>46</v>
      </c>
      <c r="B6" s="53"/>
      <c r="C6" s="53"/>
      <c r="D6" s="53"/>
      <c r="E6" s="210"/>
      <c r="F6" s="210"/>
      <c r="G6" s="210"/>
      <c r="H6" s="210"/>
      <c r="I6" s="54"/>
      <c r="J6" s="54"/>
    </row>
    <row r="7" spans="1:16" s="56" customFormat="1" ht="27.75" customHeight="1">
      <c r="A7" s="53" t="s">
        <v>216</v>
      </c>
      <c r="B7" s="53"/>
      <c r="C7" s="53"/>
      <c r="D7" s="53"/>
      <c r="E7" s="210"/>
      <c r="F7" s="210"/>
      <c r="G7" s="210"/>
      <c r="H7" s="210"/>
      <c r="I7" s="54"/>
      <c r="J7" s="54"/>
    </row>
    <row r="8" spans="1:16" s="56" customFormat="1" ht="14.25">
      <c r="A8" s="53" t="s">
        <v>215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47</v>
      </c>
      <c r="B9" s="53"/>
      <c r="C9" s="53"/>
      <c r="D9" s="53"/>
      <c r="E9" s="55" t="s">
        <v>162</v>
      </c>
      <c r="F9" s="54"/>
      <c r="G9" s="54"/>
      <c r="H9" s="54"/>
      <c r="I9" s="54"/>
      <c r="J9" s="54"/>
    </row>
    <row r="10" spans="1:16" s="56" customFormat="1" ht="14.25">
      <c r="A10" s="53" t="s">
        <v>68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109</v>
      </c>
      <c r="B11" s="53"/>
      <c r="C11" s="53"/>
      <c r="D11" s="53"/>
      <c r="E11" s="53" t="s">
        <v>183</v>
      </c>
      <c r="F11" s="53"/>
      <c r="G11" s="53" t="s">
        <v>245</v>
      </c>
      <c r="I11" s="53"/>
      <c r="J11" s="53"/>
    </row>
    <row r="12" spans="1:16" s="56" customFormat="1" ht="14.25">
      <c r="A12" s="53" t="s">
        <v>127</v>
      </c>
      <c r="B12" s="53"/>
      <c r="C12" s="53"/>
      <c r="D12" s="53"/>
      <c r="E12" s="53" t="s">
        <v>252</v>
      </c>
      <c r="F12" s="53"/>
      <c r="G12" s="53" t="s">
        <v>198</v>
      </c>
      <c r="I12" s="53"/>
      <c r="J12" s="53"/>
    </row>
    <row r="13" spans="1:16" s="56" customFormat="1" ht="14.25">
      <c r="A13" s="53" t="s">
        <v>110</v>
      </c>
      <c r="B13" s="53"/>
      <c r="C13" s="53"/>
      <c r="D13" s="53"/>
      <c r="E13" s="53" t="s">
        <v>253</v>
      </c>
      <c r="F13" s="53"/>
      <c r="G13" s="53" t="s">
        <v>221</v>
      </c>
      <c r="I13" s="53"/>
      <c r="J13" s="53"/>
    </row>
    <row r="14" spans="1:16" s="56" customFormat="1" ht="14.25">
      <c r="A14" s="53" t="s">
        <v>111</v>
      </c>
      <c r="B14" s="53"/>
      <c r="C14" s="53"/>
      <c r="D14" s="53"/>
      <c r="E14" s="53" t="s">
        <v>184</v>
      </c>
      <c r="F14" s="53"/>
      <c r="G14" s="53" t="s">
        <v>185</v>
      </c>
      <c r="I14" s="53"/>
      <c r="J14" s="53"/>
    </row>
    <row r="15" spans="1:16" s="56" customFormat="1" ht="14.25">
      <c r="A15" s="53" t="s">
        <v>112</v>
      </c>
      <c r="B15" s="53"/>
      <c r="C15" s="53"/>
      <c r="D15" s="53"/>
      <c r="E15" s="53" t="s">
        <v>182</v>
      </c>
      <c r="F15" s="53"/>
      <c r="G15" s="53" t="s">
        <v>246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  <c r="M16" s="122"/>
      <c r="N16" s="122"/>
    </row>
    <row r="17" spans="1:15" ht="30" customHeight="1">
      <c r="A17" s="214" t="s">
        <v>270</v>
      </c>
      <c r="B17" s="214"/>
      <c r="C17" s="214"/>
      <c r="D17" s="214"/>
      <c r="E17" s="214"/>
      <c r="F17" s="214"/>
      <c r="G17" s="214"/>
      <c r="H17" s="214"/>
      <c r="I17" s="54"/>
      <c r="J17" s="54"/>
      <c r="K17" s="123"/>
      <c r="L17" s="123"/>
      <c r="M17" s="123"/>
      <c r="N17" s="123"/>
    </row>
    <row r="18" spans="1:15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  <c r="M18" s="123"/>
      <c r="N18" s="123"/>
    </row>
    <row r="19" spans="1:15" ht="15.75">
      <c r="A19" s="194" t="s">
        <v>247</v>
      </c>
      <c r="B19" s="194"/>
      <c r="C19" s="194"/>
      <c r="D19" s="194"/>
      <c r="E19" s="194"/>
      <c r="F19" s="194"/>
      <c r="G19" s="194"/>
      <c r="H19" s="194"/>
      <c r="I19" s="124"/>
      <c r="J19" s="124"/>
      <c r="K19" s="124"/>
      <c r="L19" s="124"/>
      <c r="M19" s="124"/>
      <c r="N19" s="124"/>
    </row>
    <row r="20" spans="1:15" ht="15.75">
      <c r="A20" s="60"/>
      <c r="B20" s="175"/>
      <c r="C20" s="175"/>
      <c r="D20" s="175"/>
      <c r="E20" s="175"/>
      <c r="F20" s="175"/>
      <c r="G20" s="60"/>
      <c r="H20" s="61" t="s">
        <v>163</v>
      </c>
      <c r="I20" s="176"/>
      <c r="J20" s="176"/>
      <c r="K20" s="123"/>
      <c r="L20" s="123"/>
      <c r="M20" s="125"/>
    </row>
    <row r="21" spans="1:15" s="56" customFormat="1" ht="15" customHeight="1">
      <c r="A21" s="177" t="s">
        <v>158</v>
      </c>
      <c r="B21" s="205"/>
      <c r="C21" s="208" t="s">
        <v>190</v>
      </c>
      <c r="D21" s="177" t="s">
        <v>159</v>
      </c>
      <c r="E21" s="177" t="s">
        <v>204</v>
      </c>
      <c r="F21" s="180" t="s">
        <v>199</v>
      </c>
      <c r="G21" s="198" t="s">
        <v>160</v>
      </c>
      <c r="H21" s="185" t="s">
        <v>161</v>
      </c>
      <c r="I21" s="126"/>
    </row>
    <row r="22" spans="1:15" s="56" customFormat="1" ht="15" customHeight="1">
      <c r="A22" s="178"/>
      <c r="B22" s="206"/>
      <c r="C22" s="208"/>
      <c r="D22" s="178"/>
      <c r="E22" s="178"/>
      <c r="F22" s="181"/>
      <c r="G22" s="199"/>
      <c r="H22" s="185"/>
      <c r="I22" s="126"/>
    </row>
    <row r="23" spans="1:15" s="56" customFormat="1" ht="90" customHeight="1">
      <c r="A23" s="179"/>
      <c r="B23" s="207"/>
      <c r="C23" s="208"/>
      <c r="D23" s="179"/>
      <c r="E23" s="179"/>
      <c r="F23" s="182"/>
      <c r="G23" s="200"/>
      <c r="H23" s="185"/>
      <c r="I23" s="126"/>
    </row>
    <row r="24" spans="1:15" s="127" customFormat="1" ht="14.25">
      <c r="A24" s="183">
        <v>24279.02</v>
      </c>
      <c r="B24" s="184"/>
      <c r="C24" s="62">
        <v>206275.83</v>
      </c>
      <c r="D24" s="62">
        <v>201311.41</v>
      </c>
      <c r="E24" s="62">
        <v>46913.760000000002</v>
      </c>
      <c r="F24" s="63">
        <f>C24-D24</f>
        <v>4964.4199999999837</v>
      </c>
      <c r="G24" s="63">
        <v>105251</v>
      </c>
      <c r="H24" s="64">
        <f>A24+D24+E24-G24</f>
        <v>167253.19</v>
      </c>
      <c r="J24" s="128"/>
    </row>
    <row r="25" spans="1:15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  <c r="M25" s="123"/>
      <c r="N25" s="123"/>
    </row>
    <row r="26" spans="1:15" ht="14.25">
      <c r="A26" s="53" t="s">
        <v>255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  <c r="M26" s="56"/>
      <c r="N26" s="56"/>
    </row>
    <row r="27" spans="1:15" ht="14.25">
      <c r="A27" s="53" t="s">
        <v>197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15" ht="15" customHeight="1">
      <c r="A28" s="214" t="s">
        <v>164</v>
      </c>
      <c r="B28" s="214"/>
      <c r="C28" s="214"/>
      <c r="D28" s="214"/>
      <c r="E28" s="214"/>
      <c r="F28" s="214"/>
      <c r="G28" s="214"/>
      <c r="H28" s="214"/>
      <c r="I28" s="54"/>
      <c r="J28" s="54"/>
      <c r="K28" s="54"/>
      <c r="L28" s="54"/>
      <c r="M28" s="54"/>
      <c r="N28" s="54"/>
    </row>
    <row r="29" spans="1:15" ht="14.25">
      <c r="A29" s="53" t="s">
        <v>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  <c r="M29" s="53"/>
      <c r="N29" s="53"/>
    </row>
    <row r="30" spans="1:15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5" s="98" customFormat="1" ht="15.75">
      <c r="A31" s="186" t="s">
        <v>165</v>
      </c>
      <c r="B31" s="186"/>
      <c r="C31" s="186"/>
      <c r="D31" s="186"/>
      <c r="E31" s="186"/>
      <c r="F31" s="186"/>
      <c r="G31" s="186"/>
      <c r="H31" s="186"/>
      <c r="I31" s="129"/>
      <c r="J31" s="129"/>
    </row>
    <row r="32" spans="1:15" s="98" customFormat="1">
      <c r="A32" s="67"/>
      <c r="B32" s="68"/>
      <c r="C32" s="171"/>
      <c r="D32" s="171"/>
      <c r="E32" s="159"/>
      <c r="F32" s="159"/>
      <c r="G32" s="68"/>
      <c r="H32" s="69" t="s">
        <v>166</v>
      </c>
      <c r="I32" s="187"/>
      <c r="J32" s="187"/>
    </row>
    <row r="33" spans="1:14" s="98" customFormat="1" ht="15.75">
      <c r="A33" s="162" t="s">
        <v>62</v>
      </c>
      <c r="B33" s="163"/>
      <c r="C33" s="168" t="s">
        <v>237</v>
      </c>
      <c r="D33" s="169"/>
      <c r="E33" s="169"/>
      <c r="F33" s="169"/>
      <c r="G33" s="170"/>
      <c r="H33" s="70" t="s">
        <v>167</v>
      </c>
    </row>
    <row r="34" spans="1:14" s="98" customFormat="1" ht="15" customHeight="1">
      <c r="A34" s="220" t="s">
        <v>187</v>
      </c>
      <c r="B34" s="221"/>
      <c r="C34" s="72" t="s">
        <v>232</v>
      </c>
      <c r="D34" s="72"/>
      <c r="E34" s="72"/>
      <c r="F34" s="72"/>
      <c r="G34" s="72"/>
      <c r="H34" s="73">
        <f>14960+516+541+848</f>
        <v>16865</v>
      </c>
    </row>
    <row r="35" spans="1:14" s="98" customFormat="1" ht="15" customHeight="1">
      <c r="A35" s="220"/>
      <c r="B35" s="221"/>
      <c r="C35" s="72" t="s">
        <v>209</v>
      </c>
      <c r="D35" s="131"/>
      <c r="E35" s="131"/>
      <c r="F35" s="131"/>
      <c r="G35" s="72"/>
      <c r="H35" s="73">
        <f>4085+2722+2494+4500</f>
        <v>13801</v>
      </c>
    </row>
    <row r="36" spans="1:14" s="98" customFormat="1" ht="15" customHeight="1">
      <c r="A36" s="220"/>
      <c r="B36" s="221"/>
      <c r="C36" s="72" t="s">
        <v>236</v>
      </c>
      <c r="D36" s="72"/>
      <c r="E36" s="72"/>
      <c r="F36" s="72"/>
      <c r="G36" s="72"/>
      <c r="H36" s="73">
        <f>11539</f>
        <v>11539</v>
      </c>
    </row>
    <row r="37" spans="1:14" s="98" customFormat="1" ht="15" customHeight="1">
      <c r="A37" s="220"/>
      <c r="B37" s="221"/>
      <c r="C37" s="72" t="s">
        <v>18</v>
      </c>
      <c r="D37" s="72"/>
      <c r="E37" s="72"/>
      <c r="F37" s="72"/>
      <c r="G37" s="72"/>
      <c r="H37" s="73">
        <f>982+982+926+926+29615+29615</f>
        <v>63046</v>
      </c>
    </row>
    <row r="38" spans="1:14" s="98" customFormat="1" ht="15" customHeight="1">
      <c r="A38" s="220"/>
      <c r="B38" s="221"/>
      <c r="C38" s="72"/>
      <c r="D38" s="72"/>
      <c r="E38" s="72"/>
      <c r="F38" s="72"/>
      <c r="G38" s="72"/>
      <c r="H38" s="74">
        <f>SUM(H34:H37)</f>
        <v>105251</v>
      </c>
    </row>
    <row r="39" spans="1:14" s="98" customFormat="1" ht="15">
      <c r="A39" s="220"/>
      <c r="B39" s="221"/>
      <c r="C39" s="163" t="s">
        <v>238</v>
      </c>
      <c r="D39" s="163"/>
      <c r="E39" s="163"/>
      <c r="F39" s="163"/>
      <c r="G39" s="164"/>
      <c r="H39" s="74"/>
    </row>
    <row r="40" spans="1:14" s="98" customFormat="1" ht="15">
      <c r="A40" s="220"/>
      <c r="B40" s="221"/>
      <c r="C40" s="71" t="s">
        <v>233</v>
      </c>
      <c r="D40" s="75"/>
      <c r="E40" s="75"/>
      <c r="F40" s="75"/>
      <c r="G40" s="75"/>
      <c r="H40" s="73">
        <f>1041+276+269</f>
        <v>1586</v>
      </c>
    </row>
    <row r="41" spans="1:14" s="98" customFormat="1" ht="14.25" customHeight="1">
      <c r="A41" s="220"/>
      <c r="B41" s="221"/>
      <c r="C41" s="72" t="s">
        <v>227</v>
      </c>
      <c r="D41" s="72"/>
      <c r="E41" s="72"/>
      <c r="F41" s="72"/>
      <c r="G41" s="72"/>
      <c r="H41" s="73">
        <f>17280+26560</f>
        <v>43840</v>
      </c>
    </row>
    <row r="42" spans="1:14" s="98" customFormat="1" ht="14.25" customHeight="1">
      <c r="A42" s="220"/>
      <c r="B42" s="221"/>
      <c r="C42" s="72" t="s">
        <v>229</v>
      </c>
      <c r="D42" s="72"/>
      <c r="E42" s="72"/>
      <c r="F42" s="72"/>
      <c r="G42" s="72"/>
      <c r="H42" s="73">
        <f>2122</f>
        <v>2122</v>
      </c>
    </row>
    <row r="43" spans="1:14" s="98" customFormat="1" ht="15">
      <c r="A43" s="222"/>
      <c r="B43" s="223"/>
      <c r="C43" s="72" t="s">
        <v>209</v>
      </c>
      <c r="D43" s="131"/>
      <c r="E43" s="131"/>
      <c r="F43" s="131"/>
      <c r="G43" s="131"/>
      <c r="H43" s="73">
        <f>10959+5251</f>
        <v>16210</v>
      </c>
    </row>
    <row r="44" spans="1:14">
      <c r="A44" s="78"/>
      <c r="B44" s="78"/>
      <c r="C44" s="78"/>
      <c r="D44" s="78"/>
      <c r="E44" s="79"/>
      <c r="F44" s="79"/>
      <c r="G44" s="79"/>
      <c r="H44" s="79"/>
      <c r="I44" s="79"/>
      <c r="J44" s="79"/>
    </row>
    <row r="45" spans="1:14" ht="42.75" customHeight="1">
      <c r="A45" s="214" t="s">
        <v>271</v>
      </c>
      <c r="B45" s="214"/>
      <c r="C45" s="214"/>
      <c r="D45" s="214"/>
      <c r="E45" s="214"/>
      <c r="F45" s="214"/>
      <c r="G45" s="214"/>
      <c r="H45" s="214"/>
      <c r="I45" s="54"/>
      <c r="J45" s="54"/>
    </row>
    <row r="46" spans="1:14">
      <c r="A46" s="78"/>
      <c r="B46" s="78"/>
      <c r="C46" s="78"/>
      <c r="D46" s="78"/>
      <c r="E46" s="79"/>
      <c r="F46" s="79"/>
      <c r="G46" s="79"/>
      <c r="H46" s="79"/>
      <c r="I46" s="79"/>
      <c r="J46" s="79"/>
    </row>
    <row r="47" spans="1:14" ht="33" customHeight="1">
      <c r="A47" s="160" t="s">
        <v>239</v>
      </c>
      <c r="B47" s="160"/>
      <c r="C47" s="160"/>
      <c r="D47" s="160"/>
      <c r="E47" s="160"/>
      <c r="F47" s="160"/>
      <c r="G47" s="160"/>
      <c r="H47" s="160"/>
      <c r="I47" s="132"/>
      <c r="J47" s="132"/>
      <c r="K47" s="124"/>
      <c r="L47" s="124"/>
      <c r="M47" s="124"/>
      <c r="N47" s="124"/>
    </row>
    <row r="48" spans="1:14" ht="15">
      <c r="A48" s="80"/>
      <c r="B48" s="80"/>
      <c r="C48" s="80"/>
      <c r="D48" s="80"/>
      <c r="E48" s="80"/>
      <c r="F48" s="80"/>
      <c r="G48" s="80"/>
      <c r="H48" s="89" t="s">
        <v>168</v>
      </c>
      <c r="J48" s="80"/>
      <c r="K48" s="80"/>
      <c r="L48" s="80"/>
      <c r="M48" s="80"/>
      <c r="N48" s="80"/>
    </row>
    <row r="49" spans="1:12" ht="15.75">
      <c r="A49" s="168" t="s">
        <v>62</v>
      </c>
      <c r="B49" s="170"/>
      <c r="C49" s="168" t="s">
        <v>237</v>
      </c>
      <c r="D49" s="169"/>
      <c r="E49" s="169"/>
      <c r="F49" s="169"/>
      <c r="G49" s="170"/>
      <c r="H49" s="70" t="s">
        <v>167</v>
      </c>
      <c r="I49" s="80"/>
      <c r="J49" s="80"/>
    </row>
    <row r="50" spans="1:12" ht="15" customHeight="1">
      <c r="A50" s="225" t="s">
        <v>187</v>
      </c>
      <c r="B50" s="226"/>
      <c r="C50" s="172" t="s">
        <v>192</v>
      </c>
      <c r="D50" s="173"/>
      <c r="E50" s="173"/>
      <c r="F50" s="173"/>
      <c r="G50" s="174"/>
      <c r="H50" s="81">
        <f>697+277+1204+874+565+486+371+786+492+338</f>
        <v>6090</v>
      </c>
      <c r="I50" s="80"/>
      <c r="J50" s="80"/>
    </row>
    <row r="51" spans="1:12" ht="15" customHeight="1">
      <c r="A51" s="220"/>
      <c r="B51" s="221"/>
      <c r="C51" s="172" t="s">
        <v>8</v>
      </c>
      <c r="D51" s="173"/>
      <c r="E51" s="173"/>
      <c r="F51" s="173"/>
      <c r="G51" s="174"/>
      <c r="H51" s="81">
        <f>884+497+463</f>
        <v>1844</v>
      </c>
      <c r="I51" s="80"/>
      <c r="J51" s="80"/>
    </row>
    <row r="52" spans="1:12" ht="15" customHeight="1">
      <c r="A52" s="220"/>
      <c r="B52" s="221"/>
      <c r="C52" s="172" t="s">
        <v>225</v>
      </c>
      <c r="D52" s="173"/>
      <c r="E52" s="173"/>
      <c r="F52" s="173"/>
      <c r="G52" s="174"/>
      <c r="H52" s="81">
        <f>1704+1704</f>
        <v>3408</v>
      </c>
      <c r="I52" s="80"/>
      <c r="J52" s="80"/>
    </row>
    <row r="53" spans="1:12" ht="15" customHeight="1">
      <c r="A53" s="220"/>
      <c r="B53" s="221"/>
      <c r="C53" s="71" t="s">
        <v>147</v>
      </c>
      <c r="D53" s="82"/>
      <c r="E53" s="82"/>
      <c r="F53" s="82"/>
      <c r="G53" s="83"/>
      <c r="H53" s="81">
        <v>16481</v>
      </c>
      <c r="I53" s="80"/>
      <c r="J53" s="80"/>
      <c r="K53" s="80"/>
      <c r="L53" s="80"/>
    </row>
    <row r="54" spans="1:12" ht="15">
      <c r="A54" s="220"/>
      <c r="B54" s="221"/>
      <c r="C54" s="162" t="s">
        <v>238</v>
      </c>
      <c r="D54" s="163"/>
      <c r="E54" s="163"/>
      <c r="F54" s="163"/>
      <c r="G54" s="164"/>
      <c r="H54" s="81"/>
      <c r="I54" s="80"/>
      <c r="J54" s="80"/>
    </row>
    <row r="55" spans="1:12" ht="14.25">
      <c r="A55" s="222"/>
      <c r="B55" s="223"/>
      <c r="C55" s="165" t="s">
        <v>169</v>
      </c>
      <c r="D55" s="166"/>
      <c r="E55" s="166"/>
      <c r="F55" s="166"/>
      <c r="G55" s="167"/>
      <c r="H55" s="84">
        <v>11819.8</v>
      </c>
      <c r="I55" s="79"/>
      <c r="J55" s="79"/>
      <c r="K55" s="152"/>
    </row>
    <row r="56" spans="1:12" ht="14.25">
      <c r="A56" s="78"/>
      <c r="B56" s="78"/>
      <c r="C56" s="85"/>
      <c r="D56" s="85"/>
      <c r="E56" s="85"/>
      <c r="F56" s="85"/>
      <c r="G56" s="85"/>
      <c r="H56" s="79"/>
      <c r="I56" s="79"/>
      <c r="J56" s="79"/>
    </row>
    <row r="57" spans="1:12">
      <c r="A57" s="86" t="s">
        <v>128</v>
      </c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</row>
    <row r="58" spans="1:12" ht="18" customHeight="1">
      <c r="A58" s="216" t="s">
        <v>61</v>
      </c>
      <c r="B58" s="216"/>
      <c r="C58" s="216"/>
      <c r="D58" s="216"/>
      <c r="E58" s="216"/>
      <c r="F58" s="216"/>
      <c r="G58" s="216"/>
      <c r="H58" s="216"/>
      <c r="I58" s="87"/>
      <c r="J58" s="87"/>
    </row>
    <row r="59" spans="1:12" ht="12" customHeight="1">
      <c r="A59" s="87"/>
      <c r="B59" s="87"/>
      <c r="C59" s="87"/>
      <c r="D59" s="87"/>
      <c r="E59" s="87"/>
      <c r="F59" s="87"/>
      <c r="G59" s="87"/>
      <c r="H59" s="87"/>
      <c r="I59" s="87"/>
      <c r="J59" s="87"/>
    </row>
    <row r="60" spans="1:12" ht="15.75">
      <c r="A60" s="194" t="s">
        <v>59</v>
      </c>
      <c r="B60" s="194"/>
      <c r="C60" s="194"/>
      <c r="D60" s="194"/>
      <c r="E60" s="194"/>
      <c r="F60" s="194"/>
      <c r="G60" s="194"/>
      <c r="H60" s="194"/>
      <c r="I60" s="124"/>
      <c r="J60" s="124"/>
    </row>
    <row r="61" spans="1:12" ht="15.75">
      <c r="A61" s="88"/>
      <c r="B61" s="88"/>
      <c r="C61" s="88"/>
      <c r="D61" s="88"/>
      <c r="E61" s="88"/>
      <c r="F61" s="88"/>
      <c r="G61" s="88"/>
      <c r="H61" s="89" t="s">
        <v>173</v>
      </c>
      <c r="J61" s="88"/>
    </row>
    <row r="62" spans="1:12" ht="15.75">
      <c r="A62" s="190" t="s">
        <v>60</v>
      </c>
      <c r="B62" s="190"/>
      <c r="C62" s="190"/>
      <c r="D62" s="190"/>
      <c r="E62" s="190"/>
      <c r="F62" s="190"/>
      <c r="G62" s="191"/>
      <c r="H62" s="90">
        <f>SUM(H72:H85)+H64+H71</f>
        <v>1979782.6995026402</v>
      </c>
      <c r="I62" s="133"/>
      <c r="J62" s="133"/>
    </row>
    <row r="63" spans="1:12" ht="15">
      <c r="A63" s="91" t="s">
        <v>49</v>
      </c>
      <c r="B63" s="195" t="s">
        <v>50</v>
      </c>
      <c r="C63" s="196"/>
      <c r="D63" s="196"/>
      <c r="E63" s="196"/>
      <c r="F63" s="196"/>
      <c r="G63" s="197"/>
      <c r="H63" s="92" t="s">
        <v>51</v>
      </c>
      <c r="I63" s="99"/>
    </row>
    <row r="64" spans="1:12" ht="15.75">
      <c r="A64" s="93" t="s">
        <v>52</v>
      </c>
      <c r="B64" s="71" t="s">
        <v>53</v>
      </c>
      <c r="C64" s="72"/>
      <c r="D64" s="72"/>
      <c r="E64" s="72"/>
      <c r="F64" s="72"/>
      <c r="G64" s="72"/>
      <c r="H64" s="94">
        <f>SUM(H65:H70)</f>
        <v>97690.218231914099</v>
      </c>
      <c r="I64" s="60"/>
      <c r="K64" s="134">
        <f>Основное!$C$11*Основное!K35</f>
        <v>0</v>
      </c>
    </row>
    <row r="65" spans="1:9" ht="15">
      <c r="A65" s="93"/>
      <c r="B65" s="71" t="s">
        <v>191</v>
      </c>
      <c r="C65" s="72"/>
      <c r="D65" s="72"/>
      <c r="E65" s="72"/>
      <c r="F65" s="72"/>
      <c r="G65" s="72"/>
      <c r="H65" s="84">
        <f>9888+256+281</f>
        <v>10425</v>
      </c>
      <c r="I65" s="60"/>
    </row>
    <row r="66" spans="1:9" ht="15">
      <c r="A66" s="93"/>
      <c r="B66" s="71" t="s">
        <v>228</v>
      </c>
      <c r="C66" s="72"/>
      <c r="D66" s="72"/>
      <c r="E66" s="72"/>
      <c r="F66" s="72"/>
      <c r="G66" s="72"/>
      <c r="H66" s="84">
        <f>11352</f>
        <v>11352</v>
      </c>
      <c r="I66" s="60"/>
    </row>
    <row r="67" spans="1:9" ht="15">
      <c r="A67" s="93"/>
      <c r="B67" s="71" t="s">
        <v>196</v>
      </c>
      <c r="C67" s="72"/>
      <c r="D67" s="72"/>
      <c r="E67" s="72"/>
      <c r="F67" s="72"/>
      <c r="G67" s="72"/>
      <c r="H67" s="84">
        <f>3787+1470+848+2867</f>
        <v>8972</v>
      </c>
      <c r="I67" s="60"/>
    </row>
    <row r="68" spans="1:9" ht="15">
      <c r="A68" s="93"/>
      <c r="B68" s="71" t="s">
        <v>9</v>
      </c>
      <c r="C68" s="72"/>
      <c r="D68" s="72"/>
      <c r="E68" s="72"/>
      <c r="F68" s="72"/>
      <c r="G68" s="72"/>
      <c r="H68" s="84">
        <f>734+171+422</f>
        <v>1327</v>
      </c>
      <c r="I68" s="60"/>
    </row>
    <row r="69" spans="1:9" ht="15">
      <c r="A69" s="93"/>
      <c r="B69" s="71" t="s">
        <v>193</v>
      </c>
      <c r="C69" s="72"/>
      <c r="D69" s="72"/>
      <c r="E69" s="72"/>
      <c r="F69" s="72"/>
      <c r="G69" s="72"/>
      <c r="H69" s="84">
        <f>212+91+535+279+169+151+111+490+157+116</f>
        <v>2311</v>
      </c>
      <c r="I69" s="60"/>
    </row>
    <row r="70" spans="1:9" ht="47.25" customHeight="1">
      <c r="A70" s="93"/>
      <c r="B70" s="192" t="s">
        <v>40</v>
      </c>
      <c r="C70" s="193"/>
      <c r="D70" s="193"/>
      <c r="E70" s="193"/>
      <c r="F70" s="193"/>
      <c r="G70" s="193"/>
      <c r="H70" s="84">
        <f>Основное!C11*Основное!H35</f>
        <v>63303.218231914092</v>
      </c>
      <c r="I70" s="60"/>
    </row>
    <row r="71" spans="1:9" ht="15">
      <c r="A71" s="93" t="s">
        <v>54</v>
      </c>
      <c r="B71" s="71" t="s">
        <v>152</v>
      </c>
      <c r="C71" s="72"/>
      <c r="D71" s="72"/>
      <c r="E71" s="72"/>
      <c r="F71" s="72"/>
      <c r="G71" s="72"/>
      <c r="H71" s="84">
        <f>Основное!$C$11*Основное!H37</f>
        <v>8180.5986524225373</v>
      </c>
      <c r="I71" s="60"/>
    </row>
    <row r="72" spans="1:9" ht="15">
      <c r="A72" s="93" t="s">
        <v>21</v>
      </c>
      <c r="B72" s="71" t="s">
        <v>34</v>
      </c>
      <c r="C72" s="72"/>
      <c r="D72" s="72"/>
      <c r="E72" s="72"/>
      <c r="F72" s="72"/>
      <c r="G72" s="72"/>
      <c r="H72" s="84">
        <f>Основное!$C$11*Основное!H36</f>
        <v>12685.115607961347</v>
      </c>
      <c r="I72" s="60"/>
    </row>
    <row r="73" spans="1:9" ht="15">
      <c r="A73" s="93" t="s">
        <v>22</v>
      </c>
      <c r="B73" s="71" t="s">
        <v>55</v>
      </c>
      <c r="C73" s="72"/>
      <c r="D73" s="72"/>
      <c r="E73" s="72"/>
      <c r="F73" s="72"/>
      <c r="G73" s="72"/>
      <c r="H73" s="84">
        <f>Основное!$C$11*Основное!H38</f>
        <v>4618.5205811981914</v>
      </c>
      <c r="I73" s="60"/>
    </row>
    <row r="74" spans="1:9" ht="15">
      <c r="A74" s="93" t="s">
        <v>23</v>
      </c>
      <c r="B74" s="71" t="s">
        <v>37</v>
      </c>
      <c r="C74" s="72"/>
      <c r="D74" s="72"/>
      <c r="E74" s="72"/>
      <c r="F74" s="72"/>
      <c r="G74" s="72"/>
      <c r="H74" s="84">
        <f>Основное!$C$11*Основное!H39</f>
        <v>16481.098443789066</v>
      </c>
      <c r="I74" s="60"/>
    </row>
    <row r="75" spans="1:9" ht="15">
      <c r="A75" s="93" t="s">
        <v>24</v>
      </c>
      <c r="B75" s="71" t="s">
        <v>19</v>
      </c>
      <c r="C75" s="72"/>
      <c r="D75" s="72"/>
      <c r="E75" s="72"/>
      <c r="F75" s="72"/>
      <c r="G75" s="72"/>
      <c r="H75" s="84">
        <f>Основное!$C$11*Основное!H40</f>
        <v>139650.89983210692</v>
      </c>
      <c r="I75" s="60"/>
    </row>
    <row r="76" spans="1:9" ht="15">
      <c r="A76" s="93" t="s">
        <v>25</v>
      </c>
      <c r="B76" s="71" t="s">
        <v>20</v>
      </c>
      <c r="C76" s="72"/>
      <c r="D76" s="72"/>
      <c r="E76" s="72"/>
      <c r="F76" s="72"/>
      <c r="G76" s="72"/>
      <c r="H76" s="84">
        <f>Основное!$C$11*Основное!H41</f>
        <v>7360.1444656234762</v>
      </c>
      <c r="I76" s="60"/>
    </row>
    <row r="77" spans="1:9" ht="15">
      <c r="A77" s="93" t="s">
        <v>26</v>
      </c>
      <c r="B77" s="71" t="s">
        <v>56</v>
      </c>
      <c r="C77" s="72"/>
      <c r="D77" s="72"/>
      <c r="E77" s="72"/>
      <c r="F77" s="72"/>
      <c r="G77" s="72"/>
      <c r="H77" s="84">
        <f>Основное!$C$11*Основное!H42</f>
        <v>138892.35182679311</v>
      </c>
      <c r="I77" s="60"/>
    </row>
    <row r="78" spans="1:9" ht="15">
      <c r="A78" s="93" t="s">
        <v>27</v>
      </c>
      <c r="B78" s="71" t="s">
        <v>148</v>
      </c>
      <c r="C78" s="72"/>
      <c r="D78" s="72"/>
      <c r="E78" s="72"/>
      <c r="F78" s="72"/>
      <c r="G78" s="72"/>
      <c r="H78" s="84">
        <f>Основное!$C$11*Основное!H43</f>
        <v>340211.23107113573</v>
      </c>
      <c r="I78" s="60"/>
    </row>
    <row r="79" spans="1:9" ht="15">
      <c r="A79" s="93" t="s">
        <v>28</v>
      </c>
      <c r="B79" s="71" t="s">
        <v>153</v>
      </c>
      <c r="C79" s="72"/>
      <c r="D79" s="72"/>
      <c r="E79" s="72"/>
      <c r="F79" s="72"/>
      <c r="G79" s="72"/>
      <c r="H79" s="84">
        <f>Основное!$C$11*Основное!H44</f>
        <v>36137.954667330669</v>
      </c>
      <c r="I79" s="60"/>
    </row>
    <row r="80" spans="1:9" ht="15">
      <c r="A80" s="93" t="s">
        <v>29</v>
      </c>
      <c r="B80" s="71" t="s">
        <v>146</v>
      </c>
      <c r="C80" s="72"/>
      <c r="D80" s="72"/>
      <c r="E80" s="72"/>
      <c r="F80" s="72"/>
      <c r="G80" s="72"/>
      <c r="H80" s="84">
        <f>Основное!$C$11*Основное!H45</f>
        <v>46636.817257039875</v>
      </c>
      <c r="I80" s="60"/>
    </row>
    <row r="81" spans="1:16" ht="15">
      <c r="A81" s="93" t="s">
        <v>30</v>
      </c>
      <c r="B81" s="71" t="s">
        <v>151</v>
      </c>
      <c r="C81" s="72"/>
      <c r="D81" s="72"/>
      <c r="E81" s="72"/>
      <c r="F81" s="72"/>
      <c r="G81" s="72"/>
      <c r="H81" s="84">
        <f>Основное!$C$11*Основное!H46</f>
        <v>17936.376064721953</v>
      </c>
      <c r="I81" s="60"/>
    </row>
    <row r="82" spans="1:16" ht="15">
      <c r="A82" s="93" t="s">
        <v>31</v>
      </c>
      <c r="B82" s="71" t="s">
        <v>57</v>
      </c>
      <c r="C82" s="72"/>
      <c r="D82" s="72"/>
      <c r="E82" s="72"/>
      <c r="F82" s="72"/>
      <c r="G82" s="72"/>
      <c r="H82" s="84">
        <f>Основное!$C$11*Основное!H47+43000</f>
        <v>880673.05003823305</v>
      </c>
      <c r="I82" s="60"/>
    </row>
    <row r="83" spans="1:16" ht="15">
      <c r="A83" s="93" t="s">
        <v>32</v>
      </c>
      <c r="B83" s="71" t="s">
        <v>145</v>
      </c>
      <c r="C83" s="72"/>
      <c r="D83" s="72"/>
      <c r="E83" s="72"/>
      <c r="F83" s="72"/>
      <c r="G83" s="72"/>
      <c r="H83" s="84">
        <f>Основное!$C$11*Основное!H48+8600</f>
        <v>177809.95610772309</v>
      </c>
      <c r="I83" s="60"/>
    </row>
    <row r="84" spans="1:16" ht="15">
      <c r="A84" s="93" t="s">
        <v>33</v>
      </c>
      <c r="B84" s="71" t="s">
        <v>140</v>
      </c>
      <c r="C84" s="72"/>
      <c r="D84" s="72"/>
      <c r="E84" s="72"/>
      <c r="F84" s="72"/>
      <c r="G84" s="72"/>
      <c r="H84" s="84">
        <f>Основное!$C$11*Основное!H49</f>
        <v>24511.747221729685</v>
      </c>
      <c r="I84" s="60"/>
    </row>
    <row r="85" spans="1:16" ht="15">
      <c r="A85" s="93" t="s">
        <v>36</v>
      </c>
      <c r="B85" s="71" t="s">
        <v>41</v>
      </c>
      <c r="C85" s="72"/>
      <c r="D85" s="72"/>
      <c r="E85" s="72"/>
      <c r="F85" s="72"/>
      <c r="G85" s="72"/>
      <c r="H85" s="84">
        <f>Основное!$C$11*Основное!H50</f>
        <v>30306.619432917571</v>
      </c>
      <c r="I85" s="60"/>
    </row>
    <row r="86" spans="1:16">
      <c r="A86" s="95"/>
      <c r="B86" s="95"/>
      <c r="C86" s="95"/>
      <c r="D86" s="95"/>
      <c r="E86" s="95"/>
      <c r="F86" s="95"/>
      <c r="G86" s="95"/>
      <c r="H86" s="96"/>
      <c r="I86" s="135"/>
      <c r="J86" s="135"/>
    </row>
    <row r="87" spans="1:16" s="98" customFormat="1" ht="26.25" customHeight="1">
      <c r="A87" s="209" t="s">
        <v>211</v>
      </c>
      <c r="B87" s="209"/>
      <c r="C87" s="209"/>
      <c r="D87" s="209"/>
      <c r="E87" s="209"/>
      <c r="F87" s="209"/>
      <c r="G87" s="209"/>
      <c r="H87" s="209"/>
      <c r="I87" s="136"/>
      <c r="J87" s="136"/>
    </row>
    <row r="88" spans="1:16" s="98" customFormat="1">
      <c r="A88" s="97"/>
      <c r="B88" s="189"/>
      <c r="C88" s="189"/>
      <c r="D88" s="189"/>
      <c r="E88" s="189"/>
      <c r="F88" s="189"/>
      <c r="G88" s="189"/>
      <c r="H88" s="189"/>
      <c r="I88" s="102"/>
      <c r="J88" s="102"/>
    </row>
    <row r="89" spans="1:16" s="98" customFormat="1" ht="15.75">
      <c r="A89" s="186" t="s">
        <v>219</v>
      </c>
      <c r="B89" s="186"/>
      <c r="C89" s="186"/>
      <c r="D89" s="186"/>
      <c r="E89" s="186"/>
      <c r="F89" s="186"/>
      <c r="G89" s="97"/>
      <c r="I89" s="97"/>
      <c r="J89" s="97"/>
    </row>
    <row r="90" spans="1:16" s="98" customFormat="1" ht="15">
      <c r="A90" s="99"/>
      <c r="B90" s="99"/>
      <c r="C90" s="99"/>
      <c r="D90" s="99"/>
      <c r="F90" s="101" t="s">
        <v>170</v>
      </c>
      <c r="H90" s="102"/>
      <c r="I90" s="102"/>
      <c r="J90" s="102"/>
    </row>
    <row r="91" spans="1:16" s="98" customFormat="1" ht="34.5" customHeight="1">
      <c r="A91" s="118" t="s">
        <v>194</v>
      </c>
      <c r="B91" s="103" t="s">
        <v>200</v>
      </c>
      <c r="C91" s="104" t="s">
        <v>171</v>
      </c>
      <c r="D91" s="105" t="s">
        <v>172</v>
      </c>
      <c r="E91" s="147" t="s">
        <v>201</v>
      </c>
      <c r="F91" s="106" t="s">
        <v>195</v>
      </c>
      <c r="G91" s="107"/>
      <c r="H91" s="108"/>
      <c r="I91" s="100"/>
      <c r="J91" s="102"/>
      <c r="K91" s="102"/>
      <c r="L91" s="102"/>
    </row>
    <row r="92" spans="1:16" s="98" customFormat="1" ht="15">
      <c r="A92" s="109">
        <v>2993.76</v>
      </c>
      <c r="B92" s="109">
        <v>12960</v>
      </c>
      <c r="C92" s="110">
        <v>12960</v>
      </c>
      <c r="D92" s="111">
        <v>12000</v>
      </c>
      <c r="E92" s="111">
        <v>6000</v>
      </c>
      <c r="F92" s="111">
        <f>SUM(A92:E92)</f>
        <v>46913.760000000002</v>
      </c>
      <c r="G92" s="112"/>
      <c r="H92" s="113"/>
      <c r="I92" s="102"/>
      <c r="J92" s="102"/>
    </row>
    <row r="93" spans="1:16" s="98" customFormat="1" ht="15">
      <c r="A93" s="114"/>
      <c r="B93" s="114"/>
      <c r="C93" s="115"/>
      <c r="D93" s="115"/>
      <c r="E93" s="115"/>
      <c r="F93" s="115"/>
      <c r="G93" s="100"/>
      <c r="H93" s="102"/>
      <c r="I93" s="102"/>
      <c r="J93" s="102"/>
    </row>
    <row r="94" spans="1:16" s="98" customFormat="1" ht="96.75" customHeight="1">
      <c r="A94" s="203" t="s">
        <v>249</v>
      </c>
      <c r="B94" s="203"/>
      <c r="C94" s="203"/>
      <c r="D94" s="203"/>
      <c r="E94" s="203"/>
      <c r="F94" s="203"/>
      <c r="G94" s="203"/>
      <c r="H94" s="203"/>
      <c r="I94" s="138"/>
      <c r="J94" s="138"/>
      <c r="K94" s="138"/>
      <c r="L94" s="138"/>
      <c r="M94" s="138"/>
    </row>
    <row r="95" spans="1:16" ht="66" customHeight="1">
      <c r="A95" s="204" t="s">
        <v>251</v>
      </c>
      <c r="B95" s="204"/>
      <c r="C95" s="204"/>
      <c r="D95" s="204"/>
      <c r="E95" s="204"/>
      <c r="F95" s="204"/>
      <c r="G95" s="204"/>
      <c r="H95" s="204"/>
      <c r="I95" s="139"/>
      <c r="J95" s="139"/>
      <c r="K95" s="139"/>
      <c r="L95" s="139"/>
      <c r="M95" s="139"/>
      <c r="N95" s="139"/>
      <c r="O95" s="139"/>
      <c r="P95" s="139"/>
    </row>
    <row r="96" spans="1:16">
      <c r="A96" s="116"/>
      <c r="B96" s="116"/>
      <c r="C96" s="116"/>
      <c r="D96" s="116"/>
      <c r="E96" s="116"/>
      <c r="F96" s="116"/>
      <c r="G96" s="116"/>
      <c r="H96" s="116"/>
      <c r="I96" s="116"/>
      <c r="J96" s="116"/>
      <c r="K96" s="116"/>
      <c r="L96" s="116"/>
      <c r="M96" s="116"/>
    </row>
    <row r="97" spans="1:16" ht="15">
      <c r="A97" s="188" t="s">
        <v>250</v>
      </c>
      <c r="B97" s="188"/>
      <c r="C97" s="188"/>
      <c r="D97" s="188"/>
      <c r="E97" s="188"/>
      <c r="F97" s="188"/>
      <c r="G97" s="188"/>
      <c r="H97" s="188"/>
      <c r="I97" s="140"/>
      <c r="J97" s="140"/>
      <c r="K97" s="141"/>
      <c r="L97" s="141"/>
      <c r="M97" s="141"/>
      <c r="N97" s="141"/>
      <c r="O97" s="141"/>
      <c r="P97" s="141"/>
    </row>
    <row r="98" spans="1:16" ht="15">
      <c r="A98" s="188" t="s">
        <v>156</v>
      </c>
      <c r="B98" s="188"/>
      <c r="C98" s="188"/>
      <c r="D98" s="188"/>
      <c r="E98" s="188"/>
      <c r="F98" s="188"/>
      <c r="G98" s="188"/>
      <c r="H98" s="188"/>
      <c r="I98" s="140"/>
      <c r="J98" s="140"/>
      <c r="K98" s="141"/>
      <c r="L98" s="141"/>
      <c r="M98" s="141"/>
      <c r="N98" s="141"/>
      <c r="O98" s="141"/>
      <c r="P98" s="141"/>
    </row>
    <row r="99" spans="1:16" ht="14.25">
      <c r="A99" s="202" t="s">
        <v>157</v>
      </c>
      <c r="B99" s="202"/>
      <c r="C99" s="202"/>
      <c r="D99" s="202"/>
      <c r="E99" s="202"/>
      <c r="F99" s="202"/>
      <c r="G99" s="202"/>
      <c r="H99" s="202"/>
      <c r="I99" s="142"/>
      <c r="J99" s="142"/>
      <c r="K99" s="142"/>
      <c r="L99" s="142"/>
      <c r="M99" s="142"/>
      <c r="N99" s="142"/>
      <c r="O99" s="142"/>
      <c r="P99" s="142"/>
    </row>
    <row r="100" spans="1:16" ht="15">
      <c r="A100" s="201" t="s">
        <v>42</v>
      </c>
      <c r="B100" s="201"/>
      <c r="C100" s="201"/>
      <c r="D100" s="201"/>
      <c r="E100" s="201"/>
      <c r="F100" s="201"/>
      <c r="G100" s="201"/>
      <c r="H100" s="201"/>
      <c r="I100" s="143"/>
      <c r="J100" s="143"/>
      <c r="K100" s="144"/>
      <c r="L100" s="144"/>
      <c r="M100" s="144"/>
      <c r="N100" s="144"/>
      <c r="O100" s="144"/>
      <c r="P100" s="144"/>
    </row>
    <row r="101" spans="1:16" ht="15">
      <c r="A101" s="211" t="s">
        <v>43</v>
      </c>
      <c r="B101" s="211"/>
      <c r="C101" s="211"/>
      <c r="D101" s="211"/>
      <c r="E101" s="211"/>
      <c r="F101" s="211"/>
      <c r="G101" s="211"/>
      <c r="H101" s="211"/>
      <c r="I101" s="145"/>
      <c r="J101" s="145"/>
      <c r="K101" s="146"/>
      <c r="L101" s="146"/>
      <c r="M101" s="146"/>
      <c r="N101" s="146"/>
      <c r="O101" s="146"/>
      <c r="P101" s="146"/>
    </row>
  </sheetData>
  <mergeCells count="50">
    <mergeCell ref="A98:H98"/>
    <mergeCell ref="A99:H99"/>
    <mergeCell ref="A34:B43"/>
    <mergeCell ref="A45:H45"/>
    <mergeCell ref="A94:H94"/>
    <mergeCell ref="A49:B49"/>
    <mergeCell ref="A31:H31"/>
    <mergeCell ref="E32:F32"/>
    <mergeCell ref="A60:H60"/>
    <mergeCell ref="H21:H23"/>
    <mergeCell ref="A3:H3"/>
    <mergeCell ref="A17:H17"/>
    <mergeCell ref="A19:H19"/>
    <mergeCell ref="A28:H28"/>
    <mergeCell ref="C49:G49"/>
    <mergeCell ref="A50:B55"/>
    <mergeCell ref="I20:J20"/>
    <mergeCell ref="A21:B23"/>
    <mergeCell ref="C21:C23"/>
    <mergeCell ref="F21:F23"/>
    <mergeCell ref="G21:G23"/>
    <mergeCell ref="D21:D23"/>
    <mergeCell ref="E21:E23"/>
    <mergeCell ref="A1:H1"/>
    <mergeCell ref="A2:H2"/>
    <mergeCell ref="A47:H47"/>
    <mergeCell ref="A58:H58"/>
    <mergeCell ref="B20:F20"/>
    <mergeCell ref="E5:H7"/>
    <mergeCell ref="C52:G52"/>
    <mergeCell ref="A24:B24"/>
    <mergeCell ref="C32:D32"/>
    <mergeCell ref="C55:G55"/>
    <mergeCell ref="I32:J32"/>
    <mergeCell ref="A33:B33"/>
    <mergeCell ref="C33:G33"/>
    <mergeCell ref="C39:G39"/>
    <mergeCell ref="C54:G54"/>
    <mergeCell ref="C50:G50"/>
    <mergeCell ref="C51:G51"/>
    <mergeCell ref="A100:H100"/>
    <mergeCell ref="A101:H101"/>
    <mergeCell ref="A62:G62"/>
    <mergeCell ref="B63:G63"/>
    <mergeCell ref="B88:H88"/>
    <mergeCell ref="B70:G70"/>
    <mergeCell ref="A87:H87"/>
    <mergeCell ref="A89:F89"/>
    <mergeCell ref="A95:H95"/>
    <mergeCell ref="A97:H97"/>
  </mergeCells>
  <phoneticPr fontId="5" type="noConversion"/>
  <hyperlinks>
    <hyperlink ref="B63" r:id="rId1" display="blgorod@rambler.ru,"/>
    <hyperlink ref="B62" r:id="rId2" display="blgorod@rambler.ru,"/>
    <hyperlink ref="A99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71" orientation="portrait" verticalDpi="360" r:id="rId4"/>
  <headerFooter alignWithMargins="0"/>
  <rowBreaks count="1" manualBreakCount="1">
    <brk id="59" max="7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 codeName="Лист13"/>
  <dimension ref="A1:X105"/>
  <sheetViews>
    <sheetView view="pageBreakPreview" topLeftCell="A65" zoomScaleSheetLayoutView="100" workbookViewId="0">
      <selection activeCell="H67" sqref="H67"/>
    </sheetView>
  </sheetViews>
  <sheetFormatPr defaultRowHeight="12.75"/>
  <cols>
    <col min="1" max="1" width="12" style="120" customWidth="1"/>
    <col min="2" max="2" width="12.5703125" style="120" customWidth="1"/>
    <col min="3" max="3" width="14.7109375" style="120" customWidth="1"/>
    <col min="4" max="4" width="15.7109375" style="120" customWidth="1"/>
    <col min="5" max="5" width="15.28515625" style="120" customWidth="1"/>
    <col min="6" max="6" width="17.85546875" style="120" customWidth="1"/>
    <col min="7" max="7" width="17.42578125" style="120" customWidth="1"/>
    <col min="8" max="8" width="14.140625" style="120" bestFit="1" customWidth="1"/>
    <col min="9" max="9" width="4.5703125" style="120" customWidth="1"/>
    <col min="10" max="10" width="8.85546875" style="120" customWidth="1"/>
    <col min="11" max="16384" width="9.140625" style="120"/>
  </cols>
  <sheetData>
    <row r="1" spans="1:16" ht="18">
      <c r="A1" s="212" t="s">
        <v>243</v>
      </c>
      <c r="B1" s="212"/>
      <c r="C1" s="212"/>
      <c r="D1" s="212"/>
      <c r="E1" s="212"/>
      <c r="F1" s="212"/>
      <c r="G1" s="212"/>
      <c r="H1" s="212"/>
      <c r="I1" s="119"/>
      <c r="J1" s="119"/>
      <c r="K1" s="119"/>
      <c r="L1" s="119"/>
      <c r="M1" s="119"/>
      <c r="N1" s="119"/>
      <c r="O1" s="119"/>
      <c r="P1" s="119"/>
    </row>
    <row r="2" spans="1:16" ht="18">
      <c r="A2" s="212" t="s">
        <v>188</v>
      </c>
      <c r="B2" s="212"/>
      <c r="C2" s="212"/>
      <c r="D2" s="212"/>
      <c r="E2" s="212"/>
      <c r="F2" s="212"/>
      <c r="G2" s="212"/>
      <c r="H2" s="212"/>
      <c r="I2" s="119"/>
      <c r="J2" s="119"/>
      <c r="K2" s="119"/>
      <c r="L2" s="119"/>
      <c r="M2" s="119"/>
      <c r="N2" s="119"/>
      <c r="O2" s="119"/>
      <c r="P2" s="119"/>
    </row>
    <row r="3" spans="1:16" ht="18">
      <c r="A3" s="213" t="s">
        <v>244</v>
      </c>
      <c r="B3" s="213"/>
      <c r="C3" s="213"/>
      <c r="D3" s="213"/>
      <c r="E3" s="213"/>
      <c r="F3" s="213"/>
      <c r="G3" s="213"/>
      <c r="H3" s="213"/>
      <c r="I3" s="52"/>
      <c r="J3" s="52"/>
      <c r="K3" s="52"/>
      <c r="L3" s="52"/>
      <c r="M3" s="52"/>
      <c r="N3" s="52"/>
      <c r="O3" s="52"/>
      <c r="P3" s="52"/>
    </row>
    <row r="4" spans="1:16" ht="18">
      <c r="A4" s="52"/>
      <c r="B4" s="52"/>
      <c r="C4" s="52"/>
      <c r="D4" s="52"/>
      <c r="E4" s="52"/>
      <c r="F4" s="52"/>
      <c r="G4" s="52"/>
      <c r="H4" s="52"/>
      <c r="I4" s="52"/>
      <c r="J4" s="52"/>
      <c r="K4" s="121"/>
      <c r="L4" s="121"/>
    </row>
    <row r="5" spans="1:16" s="56" customFormat="1" ht="14.25" customHeight="1">
      <c r="A5" s="53" t="s">
        <v>129</v>
      </c>
      <c r="B5" s="53"/>
      <c r="C5" s="53"/>
      <c r="D5" s="53"/>
      <c r="E5" s="210" t="s">
        <v>44</v>
      </c>
      <c r="F5" s="210"/>
      <c r="G5" s="210"/>
      <c r="H5" s="210"/>
      <c r="I5" s="54"/>
      <c r="J5" s="54"/>
    </row>
    <row r="6" spans="1:16" s="56" customFormat="1" ht="14.25">
      <c r="A6" s="53" t="s">
        <v>46</v>
      </c>
      <c r="B6" s="53"/>
      <c r="C6" s="53"/>
      <c r="D6" s="53"/>
      <c r="E6" s="210"/>
      <c r="F6" s="210"/>
      <c r="G6" s="210"/>
      <c r="H6" s="210"/>
      <c r="I6" s="54"/>
      <c r="J6" s="54"/>
    </row>
    <row r="7" spans="1:16" s="56" customFormat="1" ht="27.75" customHeight="1">
      <c r="A7" s="53" t="s">
        <v>218</v>
      </c>
      <c r="B7" s="53"/>
      <c r="C7" s="53"/>
      <c r="D7" s="53"/>
      <c r="E7" s="210"/>
      <c r="F7" s="210"/>
      <c r="G7" s="210"/>
      <c r="H7" s="210"/>
      <c r="I7" s="54"/>
      <c r="J7" s="54"/>
    </row>
    <row r="8" spans="1:16" s="56" customFormat="1" ht="14.25">
      <c r="A8" s="53" t="s">
        <v>217</v>
      </c>
      <c r="B8" s="53"/>
      <c r="C8" s="53"/>
      <c r="D8" s="53"/>
      <c r="E8" s="54"/>
      <c r="F8" s="54"/>
      <c r="G8" s="54"/>
      <c r="H8" s="54"/>
      <c r="I8" s="55"/>
      <c r="J8" s="55"/>
    </row>
    <row r="9" spans="1:16" s="56" customFormat="1" ht="14.25">
      <c r="A9" s="53" t="s">
        <v>47</v>
      </c>
      <c r="B9" s="53"/>
      <c r="C9" s="53"/>
      <c r="D9" s="53"/>
      <c r="E9" s="55" t="s">
        <v>162</v>
      </c>
      <c r="F9" s="54"/>
      <c r="G9" s="54"/>
      <c r="H9" s="54"/>
      <c r="I9" s="54"/>
      <c r="J9" s="54"/>
    </row>
    <row r="10" spans="1:16" s="56" customFormat="1" ht="14.25">
      <c r="A10" s="53" t="s">
        <v>69</v>
      </c>
      <c r="B10" s="53"/>
      <c r="C10" s="53"/>
      <c r="D10" s="53"/>
      <c r="F10" s="55"/>
      <c r="G10" s="55"/>
      <c r="H10" s="55"/>
      <c r="I10" s="55"/>
      <c r="J10" s="55"/>
    </row>
    <row r="11" spans="1:16" s="56" customFormat="1" ht="14.25">
      <c r="A11" s="53" t="s">
        <v>130</v>
      </c>
      <c r="B11" s="53"/>
      <c r="C11" s="53"/>
      <c r="D11" s="53"/>
      <c r="E11" s="53" t="s">
        <v>183</v>
      </c>
      <c r="F11" s="53"/>
      <c r="G11" s="53" t="s">
        <v>245</v>
      </c>
      <c r="I11" s="53"/>
      <c r="J11" s="53"/>
    </row>
    <row r="12" spans="1:16" s="56" customFormat="1" ht="14.25">
      <c r="A12" s="53" t="s">
        <v>131</v>
      </c>
      <c r="B12" s="53"/>
      <c r="C12" s="53"/>
      <c r="D12" s="53"/>
      <c r="E12" s="53" t="s">
        <v>241</v>
      </c>
      <c r="F12" s="53"/>
      <c r="G12" s="53" t="s">
        <v>198</v>
      </c>
      <c r="I12" s="53"/>
      <c r="J12" s="53"/>
    </row>
    <row r="13" spans="1:16" s="56" customFormat="1" ht="14.25">
      <c r="A13" s="53" t="s">
        <v>132</v>
      </c>
      <c r="B13" s="53"/>
      <c r="C13" s="53"/>
      <c r="D13" s="53"/>
      <c r="E13" s="53" t="s">
        <v>242</v>
      </c>
      <c r="F13" s="53"/>
      <c r="G13" s="53" t="s">
        <v>221</v>
      </c>
      <c r="I13" s="53"/>
      <c r="J13" s="53"/>
    </row>
    <row r="14" spans="1:16" s="56" customFormat="1" ht="14.25">
      <c r="A14" s="53" t="s">
        <v>133</v>
      </c>
      <c r="B14" s="53"/>
      <c r="C14" s="53"/>
      <c r="D14" s="53"/>
      <c r="E14" s="53" t="s">
        <v>184</v>
      </c>
      <c r="F14" s="53"/>
      <c r="G14" s="53" t="s">
        <v>185</v>
      </c>
      <c r="I14" s="53"/>
      <c r="J14" s="53"/>
    </row>
    <row r="15" spans="1:16" s="56" customFormat="1" ht="14.25">
      <c r="A15" s="53" t="s">
        <v>134</v>
      </c>
      <c r="B15" s="53"/>
      <c r="C15" s="53"/>
      <c r="D15" s="53"/>
      <c r="E15" s="53" t="s">
        <v>182</v>
      </c>
      <c r="F15" s="53"/>
      <c r="G15" s="53" t="s">
        <v>246</v>
      </c>
      <c r="I15" s="53"/>
      <c r="J15" s="53"/>
    </row>
    <row r="16" spans="1:16" ht="18.75">
      <c r="A16" s="57"/>
      <c r="B16" s="57"/>
      <c r="C16" s="57"/>
      <c r="D16" s="57"/>
      <c r="E16" s="57"/>
      <c r="F16" s="58"/>
      <c r="G16" s="58"/>
      <c r="H16" s="58"/>
      <c r="I16" s="58"/>
      <c r="J16" s="58"/>
      <c r="K16" s="122"/>
      <c r="L16" s="122"/>
    </row>
    <row r="17" spans="1:24" ht="30" customHeight="1">
      <c r="A17" s="214" t="s">
        <v>272</v>
      </c>
      <c r="B17" s="214"/>
      <c r="C17" s="214"/>
      <c r="D17" s="214"/>
      <c r="E17" s="214"/>
      <c r="F17" s="214"/>
      <c r="G17" s="214"/>
      <c r="H17" s="214"/>
      <c r="I17" s="54"/>
      <c r="J17" s="54"/>
      <c r="K17" s="123"/>
      <c r="L17" s="123"/>
    </row>
    <row r="18" spans="1:24" ht="15.75">
      <c r="A18" s="59"/>
      <c r="B18" s="59"/>
      <c r="C18" s="59"/>
      <c r="D18" s="59"/>
      <c r="E18" s="59"/>
      <c r="F18" s="59"/>
      <c r="G18" s="59"/>
      <c r="H18" s="59"/>
      <c r="I18" s="59"/>
      <c r="J18" s="59"/>
      <c r="K18" s="123"/>
      <c r="L18" s="123"/>
    </row>
    <row r="19" spans="1:24" ht="15.75">
      <c r="A19" s="194" t="s">
        <v>247</v>
      </c>
      <c r="B19" s="194"/>
      <c r="C19" s="194"/>
      <c r="D19" s="194"/>
      <c r="E19" s="194"/>
      <c r="F19" s="194"/>
      <c r="G19" s="194"/>
      <c r="H19" s="194"/>
      <c r="I19" s="124"/>
      <c r="J19" s="124"/>
      <c r="K19" s="124"/>
      <c r="L19" s="124"/>
    </row>
    <row r="20" spans="1:24" ht="15.75">
      <c r="A20" s="60"/>
      <c r="B20" s="175"/>
      <c r="C20" s="175"/>
      <c r="D20" s="175"/>
      <c r="E20" s="175"/>
      <c r="F20" s="175"/>
      <c r="G20" s="60"/>
      <c r="H20" s="61" t="s">
        <v>163</v>
      </c>
      <c r="I20" s="176"/>
      <c r="J20" s="176"/>
      <c r="K20" s="125"/>
    </row>
    <row r="21" spans="1:24" s="56" customFormat="1" ht="15" customHeight="1">
      <c r="A21" s="177" t="s">
        <v>158</v>
      </c>
      <c r="B21" s="205"/>
      <c r="C21" s="208" t="s">
        <v>190</v>
      </c>
      <c r="D21" s="177" t="s">
        <v>159</v>
      </c>
      <c r="E21" s="177" t="s">
        <v>204</v>
      </c>
      <c r="F21" s="180" t="s">
        <v>199</v>
      </c>
      <c r="G21" s="198" t="s">
        <v>160</v>
      </c>
      <c r="H21" s="185" t="s">
        <v>161</v>
      </c>
      <c r="I21" s="126"/>
    </row>
    <row r="22" spans="1:24" s="56" customFormat="1" ht="15" customHeight="1">
      <c r="A22" s="178"/>
      <c r="B22" s="206"/>
      <c r="C22" s="208"/>
      <c r="D22" s="178"/>
      <c r="E22" s="178"/>
      <c r="F22" s="181"/>
      <c r="G22" s="199"/>
      <c r="H22" s="185"/>
      <c r="I22" s="126"/>
    </row>
    <row r="23" spans="1:24" s="56" customFormat="1" ht="90" customHeight="1">
      <c r="A23" s="179"/>
      <c r="B23" s="207"/>
      <c r="C23" s="208"/>
      <c r="D23" s="179"/>
      <c r="E23" s="179"/>
      <c r="F23" s="182"/>
      <c r="G23" s="200"/>
      <c r="H23" s="185"/>
      <c r="I23" s="126"/>
    </row>
    <row r="24" spans="1:24" s="127" customFormat="1" ht="14.25">
      <c r="A24" s="183">
        <v>11805.85</v>
      </c>
      <c r="B24" s="184"/>
      <c r="C24" s="62">
        <v>176289.71999999997</v>
      </c>
      <c r="D24" s="62">
        <v>175309.49</v>
      </c>
      <c r="E24" s="62">
        <v>36600</v>
      </c>
      <c r="F24" s="63">
        <f>C24-D24</f>
        <v>980.22999999998137</v>
      </c>
      <c r="G24" s="63">
        <v>109985</v>
      </c>
      <c r="H24" s="64">
        <f>A24+D24+E24-G24</f>
        <v>113730.34</v>
      </c>
      <c r="J24" s="128"/>
    </row>
    <row r="25" spans="1:24" ht="15">
      <c r="A25" s="60"/>
      <c r="B25" s="60"/>
      <c r="C25" s="60"/>
      <c r="D25" s="60"/>
      <c r="E25" s="60"/>
      <c r="F25" s="60"/>
      <c r="G25" s="60"/>
      <c r="H25" s="60"/>
      <c r="I25" s="60"/>
      <c r="J25" s="60"/>
      <c r="K25" s="123"/>
      <c r="L25" s="123"/>
    </row>
    <row r="26" spans="1:24" ht="14.25">
      <c r="A26" s="53" t="s">
        <v>255</v>
      </c>
      <c r="B26" s="53"/>
      <c r="C26" s="53"/>
      <c r="D26" s="53"/>
      <c r="E26" s="53"/>
      <c r="F26" s="53"/>
      <c r="G26" s="65"/>
      <c r="H26" s="65"/>
      <c r="I26" s="53"/>
      <c r="J26" s="53"/>
      <c r="K26" s="56"/>
      <c r="L26" s="56"/>
    </row>
    <row r="27" spans="1:24" ht="14.25">
      <c r="A27" s="53" t="s">
        <v>197</v>
      </c>
      <c r="B27" s="53"/>
      <c r="C27" s="53"/>
      <c r="D27" s="53"/>
      <c r="E27" s="53"/>
      <c r="F27" s="53"/>
      <c r="G27" s="65"/>
      <c r="H27" s="65"/>
      <c r="I27" s="53"/>
      <c r="J27" s="53"/>
      <c r="K27" s="56"/>
      <c r="L27" s="56"/>
      <c r="M27" s="56"/>
      <c r="N27" s="56"/>
      <c r="O27" s="56"/>
    </row>
    <row r="28" spans="1:24" ht="15" customHeight="1">
      <c r="A28" s="214" t="s">
        <v>164</v>
      </c>
      <c r="B28" s="214"/>
      <c r="C28" s="214"/>
      <c r="D28" s="214"/>
      <c r="E28" s="214"/>
      <c r="F28" s="214"/>
      <c r="G28" s="214"/>
      <c r="H28" s="214"/>
      <c r="I28" s="214"/>
      <c r="J28" s="214"/>
      <c r="K28" s="54"/>
      <c r="L28" s="54"/>
    </row>
    <row r="29" spans="1:24" ht="14.25">
      <c r="A29" s="53" t="s">
        <v>174</v>
      </c>
      <c r="B29" s="53"/>
      <c r="C29" s="53"/>
      <c r="D29" s="53"/>
      <c r="E29" s="53"/>
      <c r="F29" s="53"/>
      <c r="G29" s="53"/>
      <c r="H29" s="53"/>
      <c r="I29" s="53"/>
      <c r="J29" s="53"/>
      <c r="K29" s="53"/>
      <c r="L29" s="53"/>
    </row>
    <row r="30" spans="1:24" ht="15">
      <c r="A30" s="66"/>
      <c r="B30" s="66"/>
      <c r="C30" s="66"/>
      <c r="D30" s="66"/>
      <c r="E30" s="66"/>
      <c r="F30" s="66"/>
      <c r="G30" s="66"/>
      <c r="H30" s="66"/>
      <c r="I30" s="66"/>
      <c r="J30" s="66"/>
      <c r="K30" s="66"/>
      <c r="L30" s="66"/>
    </row>
    <row r="31" spans="1:24" s="98" customFormat="1" ht="15.75">
      <c r="A31" s="186" t="s">
        <v>165</v>
      </c>
      <c r="B31" s="186"/>
      <c r="C31" s="186"/>
      <c r="D31" s="186"/>
      <c r="E31" s="186"/>
      <c r="F31" s="186"/>
      <c r="G31" s="186"/>
      <c r="H31" s="186"/>
      <c r="I31" s="186"/>
      <c r="J31" s="186"/>
      <c r="M31" s="219"/>
      <c r="N31" s="219"/>
      <c r="O31" s="219"/>
      <c r="P31" s="219"/>
      <c r="Q31" s="219"/>
      <c r="R31" s="219"/>
      <c r="S31" s="219"/>
      <c r="T31" s="219"/>
      <c r="U31" s="219"/>
      <c r="V31" s="219"/>
      <c r="W31" s="219"/>
      <c r="X31" s="219"/>
    </row>
    <row r="32" spans="1:24" s="98" customFormat="1">
      <c r="A32" s="67"/>
      <c r="B32" s="68"/>
      <c r="C32" s="171"/>
      <c r="D32" s="171"/>
      <c r="E32" s="159"/>
      <c r="F32" s="159"/>
      <c r="G32" s="68"/>
      <c r="H32" s="69" t="s">
        <v>166</v>
      </c>
      <c r="I32" s="187"/>
      <c r="J32" s="187"/>
    </row>
    <row r="33" spans="1:23" s="98" customFormat="1" ht="15.75">
      <c r="A33" s="162" t="s">
        <v>62</v>
      </c>
      <c r="B33" s="163"/>
      <c r="C33" s="168" t="s">
        <v>237</v>
      </c>
      <c r="D33" s="169"/>
      <c r="E33" s="169"/>
      <c r="F33" s="169"/>
      <c r="G33" s="170"/>
      <c r="H33" s="70" t="s">
        <v>167</v>
      </c>
    </row>
    <row r="34" spans="1:23" s="98" customFormat="1" ht="15" customHeight="1">
      <c r="A34" s="220" t="s">
        <v>189</v>
      </c>
      <c r="B34" s="229"/>
      <c r="C34" s="71" t="s">
        <v>234</v>
      </c>
      <c r="D34" s="72"/>
      <c r="E34" s="72"/>
      <c r="F34" s="72"/>
      <c r="G34" s="72"/>
      <c r="H34" s="73">
        <f>731+860+320+163+516+356</f>
        <v>2946</v>
      </c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</row>
    <row r="35" spans="1:23" s="98" customFormat="1" ht="15" customHeight="1">
      <c r="A35" s="220"/>
      <c r="B35" s="229"/>
      <c r="C35" s="71" t="s">
        <v>18</v>
      </c>
      <c r="D35" s="72"/>
      <c r="E35" s="72"/>
      <c r="F35" s="72"/>
      <c r="G35" s="72"/>
      <c r="H35" s="73">
        <f>29615+29615</f>
        <v>59230</v>
      </c>
      <c r="L35" s="86"/>
      <c r="M35" s="86"/>
      <c r="N35" s="86"/>
      <c r="O35" s="86"/>
      <c r="P35" s="86"/>
      <c r="Q35" s="86"/>
      <c r="R35" s="86"/>
      <c r="S35" s="86"/>
    </row>
    <row r="36" spans="1:23" s="98" customFormat="1" ht="15" customHeight="1">
      <c r="A36" s="220"/>
      <c r="B36" s="229"/>
      <c r="C36" s="71" t="s">
        <v>209</v>
      </c>
      <c r="D36" s="153"/>
      <c r="E36" s="153"/>
      <c r="F36" s="153"/>
      <c r="G36" s="154"/>
      <c r="H36" s="73">
        <f>932+5155+2423+7493</f>
        <v>16003</v>
      </c>
      <c r="L36" s="86"/>
      <c r="M36" s="86"/>
      <c r="N36" s="86"/>
      <c r="O36" s="86"/>
      <c r="P36" s="86"/>
      <c r="Q36" s="86"/>
      <c r="R36" s="86"/>
      <c r="S36" s="86"/>
    </row>
    <row r="37" spans="1:23" s="98" customFormat="1" ht="15" customHeight="1">
      <c r="A37" s="220"/>
      <c r="B37" s="229"/>
      <c r="C37" s="71" t="s">
        <v>6</v>
      </c>
      <c r="D37" s="72"/>
      <c r="E37" s="72"/>
      <c r="F37" s="72"/>
      <c r="G37" s="72"/>
      <c r="H37" s="73">
        <f>31806</f>
        <v>31806</v>
      </c>
      <c r="L37" s="86"/>
      <c r="M37" s="86"/>
      <c r="N37" s="86"/>
      <c r="O37" s="86"/>
      <c r="P37" s="86"/>
      <c r="Q37" s="86"/>
      <c r="R37" s="86"/>
      <c r="S37" s="86"/>
    </row>
    <row r="38" spans="1:23" s="98" customFormat="1" ht="15">
      <c r="A38" s="220"/>
      <c r="B38" s="229"/>
      <c r="C38" s="130"/>
      <c r="D38" s="131"/>
      <c r="E38" s="131"/>
      <c r="F38" s="131"/>
      <c r="G38" s="131"/>
      <c r="H38" s="74">
        <f>SUM(H34:H37)</f>
        <v>109985</v>
      </c>
      <c r="L38" s="86"/>
      <c r="M38" s="86"/>
      <c r="N38" s="86"/>
      <c r="O38" s="86"/>
      <c r="P38" s="86"/>
      <c r="Q38" s="86"/>
      <c r="R38" s="86"/>
      <c r="S38" s="86"/>
    </row>
    <row r="39" spans="1:23" s="98" customFormat="1" ht="15">
      <c r="A39" s="220"/>
      <c r="B39" s="229"/>
      <c r="C39" s="162" t="s">
        <v>238</v>
      </c>
      <c r="D39" s="163"/>
      <c r="E39" s="163"/>
      <c r="F39" s="163"/>
      <c r="G39" s="164"/>
      <c r="H39" s="74"/>
      <c r="L39" s="86"/>
      <c r="M39" s="86"/>
      <c r="N39" s="86"/>
      <c r="O39" s="86"/>
      <c r="P39" s="86"/>
      <c r="Q39" s="86"/>
      <c r="R39" s="86"/>
      <c r="S39" s="86"/>
    </row>
    <row r="40" spans="1:23" s="98" customFormat="1" ht="15">
      <c r="A40" s="220"/>
      <c r="B40" s="229"/>
      <c r="C40" s="71" t="s">
        <v>208</v>
      </c>
      <c r="D40" s="131"/>
      <c r="E40" s="131"/>
      <c r="F40" s="131"/>
      <c r="G40" s="131"/>
      <c r="H40" s="73">
        <f>1124+1041+11722</f>
        <v>13887</v>
      </c>
      <c r="L40" s="86"/>
      <c r="M40" s="86"/>
      <c r="N40" s="86"/>
      <c r="O40" s="86"/>
      <c r="P40" s="86"/>
      <c r="Q40" s="86"/>
      <c r="R40" s="86"/>
    </row>
    <row r="41" spans="1:23" s="98" customFormat="1" ht="15">
      <c r="A41" s="220"/>
      <c r="B41" s="229"/>
      <c r="C41" s="71" t="s">
        <v>15</v>
      </c>
      <c r="D41" s="72"/>
      <c r="E41" s="72"/>
      <c r="F41" s="131"/>
      <c r="G41" s="131"/>
      <c r="H41" s="73">
        <v>23910</v>
      </c>
      <c r="L41" s="86"/>
      <c r="M41" s="86"/>
      <c r="N41" s="86"/>
      <c r="O41" s="86"/>
      <c r="P41" s="86"/>
      <c r="Q41" s="86"/>
      <c r="R41" s="86"/>
    </row>
    <row r="42" spans="1:23" s="98" customFormat="1" ht="15">
      <c r="A42" s="220"/>
      <c r="B42" s="229"/>
      <c r="C42" s="72" t="s">
        <v>16</v>
      </c>
      <c r="D42" s="72"/>
      <c r="E42" s="72"/>
      <c r="F42" s="131"/>
      <c r="G42" s="131"/>
      <c r="H42" s="73">
        <v>9000</v>
      </c>
      <c r="L42" s="86"/>
      <c r="M42" s="86"/>
      <c r="N42" s="86"/>
      <c r="O42" s="86"/>
      <c r="P42" s="86"/>
      <c r="Q42" s="86"/>
      <c r="R42" s="86"/>
    </row>
    <row r="43" spans="1:23" s="98" customFormat="1" ht="15">
      <c r="A43" s="220"/>
      <c r="B43" s="229"/>
      <c r="C43" s="72" t="s">
        <v>227</v>
      </c>
      <c r="D43" s="72"/>
      <c r="E43" s="72"/>
      <c r="F43" s="131"/>
      <c r="G43" s="131"/>
      <c r="H43" s="73">
        <f>18240+81920</f>
        <v>100160</v>
      </c>
      <c r="L43" s="86"/>
      <c r="M43" s="86"/>
      <c r="N43" s="86"/>
      <c r="O43" s="86"/>
      <c r="P43" s="86"/>
      <c r="Q43" s="86"/>
      <c r="R43" s="86"/>
    </row>
    <row r="44" spans="1:23" s="98" customFormat="1" ht="15">
      <c r="A44" s="220"/>
      <c r="B44" s="229"/>
      <c r="C44" s="71" t="s">
        <v>2</v>
      </c>
      <c r="D44" s="131"/>
      <c r="E44" s="131"/>
      <c r="F44" s="131"/>
      <c r="G44" s="131"/>
      <c r="H44" s="73">
        <f>2122</f>
        <v>2122</v>
      </c>
      <c r="L44" s="86"/>
      <c r="M44" s="86"/>
      <c r="N44" s="86"/>
      <c r="O44" s="86"/>
      <c r="P44" s="86"/>
      <c r="Q44" s="86"/>
      <c r="R44" s="86"/>
    </row>
    <row r="45" spans="1:23" s="98" customFormat="1" ht="15">
      <c r="A45" s="220"/>
      <c r="B45" s="229"/>
      <c r="C45" s="71" t="s">
        <v>274</v>
      </c>
      <c r="D45" s="131"/>
      <c r="E45" s="131"/>
      <c r="F45" s="131"/>
      <c r="G45" s="131"/>
      <c r="H45" s="73">
        <v>44248.07</v>
      </c>
      <c r="L45" s="86"/>
      <c r="M45" s="86"/>
      <c r="N45" s="86"/>
      <c r="O45" s="86"/>
      <c r="P45" s="86"/>
      <c r="Q45" s="86"/>
      <c r="R45" s="86"/>
    </row>
    <row r="46" spans="1:23" s="98" customFormat="1" ht="15">
      <c r="A46" s="222"/>
      <c r="B46" s="230"/>
      <c r="C46" s="71" t="s">
        <v>209</v>
      </c>
      <c r="D46" s="153"/>
      <c r="E46" s="153"/>
      <c r="F46" s="153"/>
      <c r="G46" s="153"/>
      <c r="H46" s="73">
        <f>3360+3571+2216+1358+6397+8287+8684+14100+6834</f>
        <v>54807</v>
      </c>
    </row>
    <row r="47" spans="1:23">
      <c r="A47" s="78"/>
      <c r="B47" s="78"/>
      <c r="C47" s="78"/>
      <c r="D47" s="78"/>
      <c r="E47" s="79"/>
      <c r="F47" s="79"/>
      <c r="G47" s="79"/>
      <c r="H47" s="79"/>
      <c r="I47" s="79"/>
      <c r="J47" s="79"/>
    </row>
    <row r="48" spans="1:23" ht="42.75" customHeight="1">
      <c r="A48" s="214" t="s">
        <v>273</v>
      </c>
      <c r="B48" s="214"/>
      <c r="C48" s="214"/>
      <c r="D48" s="214"/>
      <c r="E48" s="214"/>
      <c r="F48" s="214"/>
      <c r="G48" s="214"/>
      <c r="H48" s="214"/>
      <c r="I48" s="54"/>
      <c r="J48" s="54"/>
    </row>
    <row r="49" spans="1:12">
      <c r="A49" s="78"/>
      <c r="B49" s="78"/>
      <c r="C49" s="78"/>
      <c r="D49" s="78"/>
      <c r="E49" s="79"/>
      <c r="F49" s="79"/>
      <c r="G49" s="79"/>
      <c r="H49" s="79"/>
      <c r="I49" s="79"/>
      <c r="J49" s="79"/>
    </row>
    <row r="50" spans="1:12" ht="33" customHeight="1">
      <c r="A50" s="160" t="s">
        <v>239</v>
      </c>
      <c r="B50" s="160"/>
      <c r="C50" s="160"/>
      <c r="D50" s="160"/>
      <c r="E50" s="160"/>
      <c r="F50" s="160"/>
      <c r="G50" s="160"/>
      <c r="H50" s="160"/>
      <c r="I50" s="132"/>
      <c r="J50" s="132"/>
      <c r="K50" s="124"/>
      <c r="L50" s="124"/>
    </row>
    <row r="51" spans="1:12" ht="15">
      <c r="A51" s="80"/>
      <c r="B51" s="80"/>
      <c r="C51" s="80"/>
      <c r="D51" s="80"/>
      <c r="E51" s="80"/>
      <c r="F51" s="80"/>
      <c r="G51" s="80"/>
      <c r="H51" s="89" t="s">
        <v>168</v>
      </c>
      <c r="J51" s="80"/>
      <c r="K51" s="80"/>
      <c r="L51" s="80"/>
    </row>
    <row r="52" spans="1:12" ht="15.75">
      <c r="A52" s="168" t="s">
        <v>62</v>
      </c>
      <c r="B52" s="170"/>
      <c r="C52" s="168" t="s">
        <v>237</v>
      </c>
      <c r="D52" s="169"/>
      <c r="E52" s="169"/>
      <c r="F52" s="169"/>
      <c r="G52" s="170"/>
      <c r="H52" s="70" t="s">
        <v>167</v>
      </c>
      <c r="I52" s="80"/>
      <c r="J52" s="80"/>
    </row>
    <row r="53" spans="1:12" ht="15" customHeight="1">
      <c r="A53" s="225" t="s">
        <v>189</v>
      </c>
      <c r="B53" s="226"/>
      <c r="C53" s="172" t="s">
        <v>235</v>
      </c>
      <c r="D53" s="173"/>
      <c r="E53" s="173"/>
      <c r="F53" s="173"/>
      <c r="G53" s="174"/>
      <c r="H53" s="81">
        <f>452+1202+707+1207+855+948+905+973+1379+764+479</f>
        <v>9871</v>
      </c>
      <c r="I53" s="80"/>
      <c r="J53" s="80"/>
    </row>
    <row r="54" spans="1:12" ht="15" customHeight="1">
      <c r="A54" s="220"/>
      <c r="B54" s="221"/>
      <c r="C54" s="172" t="s">
        <v>8</v>
      </c>
      <c r="D54" s="173"/>
      <c r="E54" s="173"/>
      <c r="F54" s="173"/>
      <c r="G54" s="174"/>
      <c r="H54" s="81">
        <f>737+895</f>
        <v>1632</v>
      </c>
      <c r="I54" s="80"/>
      <c r="J54" s="80"/>
    </row>
    <row r="55" spans="1:12" ht="15" customHeight="1">
      <c r="A55" s="220"/>
      <c r="B55" s="221"/>
      <c r="C55" s="172" t="s">
        <v>11</v>
      </c>
      <c r="D55" s="173"/>
      <c r="E55" s="173"/>
      <c r="F55" s="173"/>
      <c r="G55" s="155"/>
      <c r="H55" s="81">
        <f>3517+4487</f>
        <v>8004</v>
      </c>
      <c r="I55" s="80"/>
      <c r="J55" s="80"/>
    </row>
    <row r="56" spans="1:12" ht="15" customHeight="1">
      <c r="A56" s="220"/>
      <c r="B56" s="221"/>
      <c r="C56" s="172" t="s">
        <v>225</v>
      </c>
      <c r="D56" s="227"/>
      <c r="E56" s="227"/>
      <c r="F56" s="227"/>
      <c r="G56" s="228"/>
      <c r="H56" s="81">
        <f>1430+1430</f>
        <v>2860</v>
      </c>
      <c r="I56" s="80"/>
      <c r="J56" s="80"/>
    </row>
    <row r="57" spans="1:12" ht="15" customHeight="1">
      <c r="A57" s="220"/>
      <c r="B57" s="221"/>
      <c r="C57" s="71" t="s">
        <v>147</v>
      </c>
      <c r="D57" s="82"/>
      <c r="E57" s="82"/>
      <c r="F57" s="82"/>
      <c r="G57" s="83"/>
      <c r="H57" s="81">
        <v>14096</v>
      </c>
      <c r="I57" s="80"/>
      <c r="J57" s="80"/>
      <c r="K57" s="80"/>
      <c r="L57" s="80"/>
    </row>
    <row r="58" spans="1:12" ht="15">
      <c r="A58" s="220"/>
      <c r="B58" s="221"/>
      <c r="C58" s="162" t="s">
        <v>238</v>
      </c>
      <c r="D58" s="163"/>
      <c r="E58" s="163"/>
      <c r="F58" s="163"/>
      <c r="G58" s="164"/>
      <c r="H58" s="156"/>
      <c r="I58" s="80"/>
      <c r="J58" s="80"/>
    </row>
    <row r="59" spans="1:12" ht="14.25">
      <c r="A59" s="222"/>
      <c r="B59" s="223"/>
      <c r="C59" s="165" t="s">
        <v>169</v>
      </c>
      <c r="D59" s="166"/>
      <c r="E59" s="166"/>
      <c r="F59" s="166"/>
      <c r="G59" s="166"/>
      <c r="H59" s="84">
        <v>9909.24</v>
      </c>
      <c r="I59" s="79"/>
      <c r="J59" s="79"/>
    </row>
    <row r="60" spans="1:12" ht="15">
      <c r="A60" s="76"/>
      <c r="B60" s="76"/>
      <c r="C60" s="85"/>
      <c r="D60" s="85"/>
      <c r="E60" s="85"/>
      <c r="F60" s="85"/>
      <c r="G60" s="85"/>
      <c r="H60" s="79"/>
      <c r="I60" s="79"/>
      <c r="J60" s="79"/>
    </row>
    <row r="61" spans="1:12">
      <c r="A61" s="86" t="s">
        <v>70</v>
      </c>
      <c r="B61" s="86"/>
      <c r="C61" s="86"/>
      <c r="D61" s="86"/>
      <c r="E61" s="86"/>
      <c r="F61" s="86"/>
      <c r="G61" s="86"/>
      <c r="H61" s="86"/>
      <c r="I61" s="86"/>
      <c r="J61" s="86"/>
      <c r="K61" s="86"/>
      <c r="L61" s="86"/>
    </row>
    <row r="62" spans="1:12" ht="18" customHeight="1">
      <c r="A62" s="216" t="s">
        <v>275</v>
      </c>
      <c r="B62" s="216"/>
      <c r="C62" s="216"/>
      <c r="D62" s="216"/>
      <c r="E62" s="216"/>
      <c r="F62" s="216"/>
      <c r="G62" s="216"/>
      <c r="H62" s="216"/>
      <c r="I62" s="87"/>
      <c r="J62" s="87"/>
    </row>
    <row r="63" spans="1:12" ht="12" customHeight="1">
      <c r="A63" s="87"/>
      <c r="B63" s="87"/>
      <c r="C63" s="87"/>
      <c r="D63" s="87"/>
      <c r="E63" s="87"/>
      <c r="F63" s="87"/>
      <c r="G63" s="87"/>
      <c r="H63" s="87"/>
      <c r="I63" s="87"/>
      <c r="J63" s="87"/>
    </row>
    <row r="64" spans="1:12" ht="15.75">
      <c r="A64" s="194" t="s">
        <v>59</v>
      </c>
      <c r="B64" s="194"/>
      <c r="C64" s="194"/>
      <c r="D64" s="194"/>
      <c r="E64" s="194"/>
      <c r="F64" s="194"/>
      <c r="G64" s="194"/>
      <c r="H64" s="194"/>
      <c r="I64" s="194"/>
      <c r="J64" s="194"/>
    </row>
    <row r="65" spans="1:11" ht="15.75">
      <c r="A65" s="88"/>
      <c r="B65" s="88"/>
      <c r="C65" s="88"/>
      <c r="D65" s="88"/>
      <c r="E65" s="88"/>
      <c r="F65" s="88"/>
      <c r="G65" s="88"/>
      <c r="H65" s="89" t="s">
        <v>173</v>
      </c>
      <c r="J65" s="88"/>
    </row>
    <row r="66" spans="1:11" ht="15.75">
      <c r="A66" s="190" t="s">
        <v>60</v>
      </c>
      <c r="B66" s="190"/>
      <c r="C66" s="190"/>
      <c r="D66" s="190"/>
      <c r="E66" s="190"/>
      <c r="F66" s="190"/>
      <c r="G66" s="191"/>
      <c r="H66" s="90">
        <f>SUM(H76:H89)+H68+H75</f>
        <v>1712179.5704418006</v>
      </c>
      <c r="I66" s="133"/>
      <c r="J66" s="133"/>
    </row>
    <row r="67" spans="1:11" ht="15">
      <c r="A67" s="91" t="s">
        <v>49</v>
      </c>
      <c r="B67" s="195" t="s">
        <v>50</v>
      </c>
      <c r="C67" s="196"/>
      <c r="D67" s="196"/>
      <c r="E67" s="196"/>
      <c r="F67" s="196"/>
      <c r="G67" s="197"/>
      <c r="H67" s="92" t="s">
        <v>51</v>
      </c>
      <c r="I67" s="99"/>
    </row>
    <row r="68" spans="1:11" ht="15.75">
      <c r="A68" s="93" t="s">
        <v>52</v>
      </c>
      <c r="B68" s="71" t="s">
        <v>53</v>
      </c>
      <c r="C68" s="72"/>
      <c r="D68" s="72"/>
      <c r="E68" s="72"/>
      <c r="F68" s="72"/>
      <c r="G68" s="72"/>
      <c r="H68" s="94">
        <f>SUM(H69:H74)</f>
        <v>98566.012199353179</v>
      </c>
      <c r="I68" s="60"/>
      <c r="K68" s="134">
        <f>Основное!$C$12*Основное!K35</f>
        <v>0</v>
      </c>
    </row>
    <row r="69" spans="1:11" ht="15">
      <c r="A69" s="93"/>
      <c r="B69" s="71" t="s">
        <v>191</v>
      </c>
      <c r="C69" s="72"/>
      <c r="D69" s="72"/>
      <c r="E69" s="72"/>
      <c r="F69" s="72"/>
      <c r="G69" s="72"/>
      <c r="H69" s="84">
        <f>396+449+187+124+256+207</f>
        <v>1619</v>
      </c>
      <c r="I69" s="60"/>
    </row>
    <row r="70" spans="1:11" ht="15">
      <c r="A70" s="93"/>
      <c r="B70" s="71" t="s">
        <v>223</v>
      </c>
      <c r="C70" s="72"/>
      <c r="D70" s="72"/>
      <c r="E70" s="72"/>
      <c r="F70" s="72"/>
      <c r="G70" s="72"/>
      <c r="H70" s="84">
        <f>28512</f>
        <v>28512</v>
      </c>
      <c r="I70" s="60"/>
    </row>
    <row r="71" spans="1:11" ht="15">
      <c r="A71" s="93"/>
      <c r="B71" s="71" t="s">
        <v>196</v>
      </c>
      <c r="C71" s="72"/>
      <c r="D71" s="72"/>
      <c r="E71" s="72"/>
      <c r="F71" s="72"/>
      <c r="G71" s="72"/>
      <c r="H71" s="84">
        <f>340+3645+713</f>
        <v>4698</v>
      </c>
      <c r="I71" s="60"/>
    </row>
    <row r="72" spans="1:11" ht="15">
      <c r="A72" s="93"/>
      <c r="B72" s="71" t="s">
        <v>9</v>
      </c>
      <c r="C72" s="72"/>
      <c r="D72" s="72"/>
      <c r="E72" s="72"/>
      <c r="F72" s="72"/>
      <c r="G72" s="72"/>
      <c r="H72" s="84">
        <f>696+817</f>
        <v>1513</v>
      </c>
      <c r="I72" s="60"/>
    </row>
    <row r="73" spans="1:11" ht="15">
      <c r="A73" s="93"/>
      <c r="B73" s="71" t="s">
        <v>12</v>
      </c>
      <c r="C73" s="72"/>
      <c r="D73" s="72"/>
      <c r="E73" s="72"/>
      <c r="F73" s="72"/>
      <c r="G73" s="72"/>
      <c r="H73" s="84">
        <f>192+456+222+612+2165+296+413+263+746+2219+317+180</f>
        <v>8081</v>
      </c>
      <c r="I73" s="60"/>
    </row>
    <row r="74" spans="1:11" ht="49.5" customHeight="1">
      <c r="A74" s="93"/>
      <c r="B74" s="192" t="s">
        <v>40</v>
      </c>
      <c r="C74" s="193"/>
      <c r="D74" s="193"/>
      <c r="E74" s="193"/>
      <c r="F74" s="193"/>
      <c r="G74" s="193"/>
      <c r="H74" s="84">
        <f>Основное!C12*Основное!H35</f>
        <v>54143.012199353179</v>
      </c>
      <c r="I74" s="60"/>
    </row>
    <row r="75" spans="1:11" ht="15">
      <c r="A75" s="93" t="s">
        <v>54</v>
      </c>
      <c r="B75" s="71" t="s">
        <v>152</v>
      </c>
      <c r="C75" s="72"/>
      <c r="D75" s="72"/>
      <c r="E75" s="72"/>
      <c r="F75" s="72"/>
      <c r="G75" s="72"/>
      <c r="H75" s="84">
        <f>Основное!$C$12*Основное!H37</f>
        <v>6996.836258994932</v>
      </c>
      <c r="I75" s="60"/>
    </row>
    <row r="76" spans="1:11" ht="15">
      <c r="A76" s="93" t="s">
        <v>21</v>
      </c>
      <c r="B76" s="71" t="s">
        <v>34</v>
      </c>
      <c r="C76" s="72"/>
      <c r="D76" s="72"/>
      <c r="E76" s="72"/>
      <c r="F76" s="72"/>
      <c r="G76" s="72"/>
      <c r="H76" s="84">
        <f>Основное!$C$12*Основное!H36</f>
        <v>10849.533219557605</v>
      </c>
      <c r="I76" s="60"/>
    </row>
    <row r="77" spans="1:11" ht="15">
      <c r="A77" s="93" t="s">
        <v>22</v>
      </c>
      <c r="B77" s="71" t="s">
        <v>55</v>
      </c>
      <c r="C77" s="72"/>
      <c r="D77" s="72"/>
      <c r="E77" s="72"/>
      <c r="F77" s="72"/>
      <c r="G77" s="72"/>
      <c r="H77" s="84">
        <f>Основное!$C$12*Основное!H38</f>
        <v>3950.2038467407688</v>
      </c>
      <c r="I77" s="60"/>
    </row>
    <row r="78" spans="1:11" ht="15">
      <c r="A78" s="93" t="s">
        <v>23</v>
      </c>
      <c r="B78" s="71" t="s">
        <v>37</v>
      </c>
      <c r="C78" s="72"/>
      <c r="D78" s="72"/>
      <c r="E78" s="72"/>
      <c r="F78" s="72"/>
      <c r="G78" s="72"/>
      <c r="H78" s="84">
        <f>Основное!$C$12*Основное!H39</f>
        <v>14096.223525819796</v>
      </c>
      <c r="I78" s="60"/>
    </row>
    <row r="79" spans="1:11" ht="15">
      <c r="A79" s="93" t="s">
        <v>24</v>
      </c>
      <c r="B79" s="71" t="s">
        <v>19</v>
      </c>
      <c r="C79" s="72"/>
      <c r="D79" s="72"/>
      <c r="E79" s="72"/>
      <c r="F79" s="72"/>
      <c r="G79" s="72"/>
      <c r="H79" s="84">
        <f>Основное!$C$12*Основное!H40</f>
        <v>119442.90645003103</v>
      </c>
      <c r="I79" s="60"/>
    </row>
    <row r="80" spans="1:11" ht="15">
      <c r="A80" s="93" t="s">
        <v>25</v>
      </c>
      <c r="B80" s="71" t="s">
        <v>20</v>
      </c>
      <c r="C80" s="72"/>
      <c r="D80" s="72"/>
      <c r="E80" s="72"/>
      <c r="F80" s="72"/>
      <c r="G80" s="72"/>
      <c r="H80" s="84">
        <f>Основное!$C$12*Основное!H41</f>
        <v>6295.1047785806113</v>
      </c>
      <c r="I80" s="60"/>
    </row>
    <row r="81" spans="1:11" ht="15">
      <c r="A81" s="93" t="s">
        <v>26</v>
      </c>
      <c r="B81" s="71" t="s">
        <v>56</v>
      </c>
      <c r="C81" s="72"/>
      <c r="D81" s="72"/>
      <c r="E81" s="72"/>
      <c r="F81" s="72"/>
      <c r="G81" s="72"/>
      <c r="H81" s="84">
        <f>Основное!$C$12*Основное!H42</f>
        <v>118794.12310137031</v>
      </c>
      <c r="I81" s="60"/>
    </row>
    <row r="82" spans="1:11" ht="15">
      <c r="A82" s="93" t="s">
        <v>27</v>
      </c>
      <c r="B82" s="71" t="s">
        <v>148</v>
      </c>
      <c r="C82" s="72"/>
      <c r="D82" s="72"/>
      <c r="E82" s="72"/>
      <c r="F82" s="72"/>
      <c r="G82" s="72"/>
      <c r="H82" s="84">
        <f>Основное!$C$12*Основное!H43</f>
        <v>290981.42793876241</v>
      </c>
      <c r="I82" s="60"/>
    </row>
    <row r="83" spans="1:11" ht="15">
      <c r="A83" s="93" t="s">
        <v>28</v>
      </c>
      <c r="B83" s="71" t="s">
        <v>153</v>
      </c>
      <c r="C83" s="72"/>
      <c r="D83" s="72"/>
      <c r="E83" s="72"/>
      <c r="F83" s="72"/>
      <c r="G83" s="72"/>
      <c r="H83" s="84">
        <f>Основное!$C$12*Основное!H44</f>
        <v>30908.661124380789</v>
      </c>
      <c r="I83" s="60"/>
    </row>
    <row r="84" spans="1:11" ht="15">
      <c r="A84" s="93" t="s">
        <v>29</v>
      </c>
      <c r="B84" s="71" t="s">
        <v>146</v>
      </c>
      <c r="C84" s="72"/>
      <c r="D84" s="72"/>
      <c r="E84" s="72"/>
      <c r="F84" s="72"/>
      <c r="G84" s="72"/>
      <c r="H84" s="84">
        <f>Основное!$C$12*Основное!H45</f>
        <v>39888.300092994577</v>
      </c>
      <c r="I84" s="60"/>
    </row>
    <row r="85" spans="1:11" ht="15">
      <c r="A85" s="93" t="s">
        <v>30</v>
      </c>
      <c r="B85" s="71" t="s">
        <v>151</v>
      </c>
      <c r="C85" s="72"/>
      <c r="D85" s="72"/>
      <c r="E85" s="72"/>
      <c r="F85" s="72"/>
      <c r="G85" s="72"/>
      <c r="H85" s="84">
        <f>Основное!$C$12*Основное!H46</f>
        <v>15340.917179386553</v>
      </c>
      <c r="I85" s="60"/>
    </row>
    <row r="86" spans="1:11" ht="15">
      <c r="A86" s="93" t="s">
        <v>31</v>
      </c>
      <c r="B86" s="71" t="s">
        <v>57</v>
      </c>
      <c r="C86" s="72"/>
      <c r="D86" s="72"/>
      <c r="E86" s="72"/>
      <c r="F86" s="72"/>
      <c r="G86" s="72"/>
      <c r="H86" s="84">
        <f>Основное!$C$12*Основное!H47+40000</f>
        <v>756458.71148497635</v>
      </c>
      <c r="I86" s="60"/>
    </row>
    <row r="87" spans="1:11" ht="15">
      <c r="A87" s="93" t="s">
        <v>32</v>
      </c>
      <c r="B87" s="71" t="s">
        <v>145</v>
      </c>
      <c r="C87" s="72"/>
      <c r="D87" s="72"/>
      <c r="E87" s="72"/>
      <c r="F87" s="72"/>
      <c r="G87" s="72"/>
      <c r="H87" s="84">
        <f>Основное!$C$12*Основное!H48+8000</f>
        <v>152724.65971996525</v>
      </c>
      <c r="I87" s="60"/>
    </row>
    <row r="88" spans="1:11" ht="15">
      <c r="A88" s="93" t="s">
        <v>33</v>
      </c>
      <c r="B88" s="71" t="s">
        <v>140</v>
      </c>
      <c r="C88" s="72"/>
      <c r="D88" s="72"/>
      <c r="E88" s="72"/>
      <c r="F88" s="72"/>
      <c r="G88" s="72"/>
      <c r="H88" s="84">
        <f>Основное!$C$12*Основное!H49</f>
        <v>20964.808202823708</v>
      </c>
      <c r="I88" s="60"/>
    </row>
    <row r="89" spans="1:11" ht="15">
      <c r="A89" s="93" t="s">
        <v>36</v>
      </c>
      <c r="B89" s="71" t="s">
        <v>41</v>
      </c>
      <c r="C89" s="72"/>
      <c r="D89" s="72"/>
      <c r="E89" s="72"/>
      <c r="F89" s="72"/>
      <c r="G89" s="72"/>
      <c r="H89" s="84">
        <f>Основное!$C$12*Основное!H50</f>
        <v>25921.141318062724</v>
      </c>
      <c r="I89" s="60"/>
    </row>
    <row r="90" spans="1:11">
      <c r="A90" s="95"/>
      <c r="B90" s="95"/>
      <c r="C90" s="95"/>
      <c r="D90" s="95"/>
      <c r="E90" s="95"/>
      <c r="F90" s="95"/>
      <c r="G90" s="95"/>
      <c r="H90" s="96"/>
      <c r="I90" s="135"/>
      <c r="J90" s="135"/>
    </row>
    <row r="91" spans="1:11" s="98" customFormat="1" ht="26.25" customHeight="1">
      <c r="A91" s="209" t="s">
        <v>212</v>
      </c>
      <c r="B91" s="209"/>
      <c r="C91" s="209"/>
      <c r="D91" s="209"/>
      <c r="E91" s="209"/>
      <c r="F91" s="209"/>
      <c r="G91" s="209"/>
      <c r="H91" s="209"/>
      <c r="I91" s="136"/>
      <c r="J91" s="136"/>
    </row>
    <row r="92" spans="1:11" s="98" customFormat="1">
      <c r="A92" s="97"/>
      <c r="B92" s="189"/>
      <c r="C92" s="189"/>
      <c r="D92" s="189"/>
      <c r="E92" s="189"/>
      <c r="F92" s="189"/>
      <c r="G92" s="189"/>
      <c r="H92" s="189"/>
      <c r="I92" s="102"/>
      <c r="J92" s="102"/>
    </row>
    <row r="93" spans="1:11" s="98" customFormat="1" ht="15.75">
      <c r="A93" s="186" t="s">
        <v>219</v>
      </c>
      <c r="B93" s="186"/>
      <c r="C93" s="186"/>
      <c r="D93" s="186"/>
      <c r="E93" s="186"/>
      <c r="F93" s="97"/>
      <c r="G93" s="97"/>
      <c r="I93" s="97"/>
      <c r="J93" s="97"/>
    </row>
    <row r="94" spans="1:11" s="98" customFormat="1" ht="15">
      <c r="A94" s="99"/>
      <c r="B94" s="99"/>
      <c r="C94" s="99"/>
      <c r="D94" s="99"/>
      <c r="E94" s="101" t="s">
        <v>170</v>
      </c>
      <c r="F94" s="100"/>
      <c r="H94" s="102"/>
      <c r="I94" s="102"/>
      <c r="J94" s="102"/>
    </row>
    <row r="95" spans="1:11" s="98" customFormat="1" ht="34.5" customHeight="1">
      <c r="A95" s="103" t="s">
        <v>200</v>
      </c>
      <c r="B95" s="104" t="s">
        <v>171</v>
      </c>
      <c r="C95" s="105" t="s">
        <v>172</v>
      </c>
      <c r="D95" s="147" t="s">
        <v>201</v>
      </c>
      <c r="E95" s="106" t="s">
        <v>195</v>
      </c>
      <c r="F95" s="107"/>
      <c r="G95" s="108"/>
      <c r="H95" s="100"/>
      <c r="I95" s="102"/>
      <c r="J95" s="102"/>
      <c r="K95" s="102"/>
    </row>
    <row r="96" spans="1:11" s="98" customFormat="1" ht="15">
      <c r="A96" s="109">
        <v>10800</v>
      </c>
      <c r="B96" s="110">
        <v>10800</v>
      </c>
      <c r="C96" s="111">
        <v>12000</v>
      </c>
      <c r="D96" s="111">
        <v>3000</v>
      </c>
      <c r="E96" s="111">
        <f>SUM(A96:D96)</f>
        <v>36600</v>
      </c>
      <c r="F96" s="112"/>
      <c r="G96" s="113"/>
      <c r="H96" s="102"/>
      <c r="I96" s="102"/>
    </row>
    <row r="97" spans="1:16" s="98" customFormat="1" ht="15">
      <c r="A97" s="114"/>
      <c r="B97" s="114"/>
      <c r="C97" s="115"/>
      <c r="D97" s="115"/>
      <c r="E97" s="115"/>
      <c r="F97" s="115"/>
      <c r="G97" s="100"/>
      <c r="H97" s="102"/>
      <c r="I97" s="102"/>
      <c r="J97" s="102"/>
    </row>
    <row r="98" spans="1:16" s="98" customFormat="1" ht="92.25" customHeight="1">
      <c r="A98" s="203" t="s">
        <v>249</v>
      </c>
      <c r="B98" s="203"/>
      <c r="C98" s="203"/>
      <c r="D98" s="203"/>
      <c r="E98" s="203"/>
      <c r="F98" s="203"/>
      <c r="G98" s="203"/>
      <c r="H98" s="203"/>
      <c r="I98" s="138"/>
      <c r="J98" s="138"/>
      <c r="K98" s="138"/>
      <c r="L98" s="138"/>
      <c r="M98" s="138"/>
    </row>
    <row r="99" spans="1:16" ht="66" customHeight="1">
      <c r="A99" s="204" t="s">
        <v>251</v>
      </c>
      <c r="B99" s="204"/>
      <c r="C99" s="204"/>
      <c r="D99" s="204"/>
      <c r="E99" s="204"/>
      <c r="F99" s="204"/>
      <c r="G99" s="204"/>
      <c r="H99" s="204"/>
      <c r="I99" s="139"/>
      <c r="J99" s="139"/>
      <c r="K99" s="139"/>
      <c r="L99" s="139"/>
      <c r="M99" s="139"/>
      <c r="N99" s="139"/>
      <c r="O99" s="139"/>
      <c r="P99" s="139"/>
    </row>
    <row r="100" spans="1:16">
      <c r="A100" s="116"/>
      <c r="B100" s="116"/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</row>
    <row r="101" spans="1:16" ht="15">
      <c r="A101" s="188" t="s">
        <v>250</v>
      </c>
      <c r="B101" s="188"/>
      <c r="C101" s="188"/>
      <c r="D101" s="188"/>
      <c r="E101" s="188"/>
      <c r="F101" s="188"/>
      <c r="G101" s="188"/>
      <c r="H101" s="188"/>
      <c r="I101" s="140"/>
      <c r="J101" s="140"/>
      <c r="K101" s="141"/>
      <c r="L101" s="141"/>
      <c r="M101" s="141"/>
      <c r="N101" s="141"/>
      <c r="O101" s="141"/>
      <c r="P101" s="141"/>
    </row>
    <row r="102" spans="1:16" ht="15">
      <c r="A102" s="188" t="s">
        <v>156</v>
      </c>
      <c r="B102" s="188"/>
      <c r="C102" s="188"/>
      <c r="D102" s="188"/>
      <c r="E102" s="188"/>
      <c r="F102" s="188"/>
      <c r="G102" s="188"/>
      <c r="H102" s="188"/>
      <c r="I102" s="140"/>
      <c r="J102" s="140"/>
      <c r="K102" s="141"/>
      <c r="L102" s="141"/>
      <c r="M102" s="141"/>
      <c r="N102" s="141"/>
      <c r="O102" s="141"/>
      <c r="P102" s="141"/>
    </row>
    <row r="103" spans="1:16" ht="14.25">
      <c r="A103" s="202" t="s">
        <v>157</v>
      </c>
      <c r="B103" s="202"/>
      <c r="C103" s="202"/>
      <c r="D103" s="202"/>
      <c r="E103" s="202"/>
      <c r="F103" s="202"/>
      <c r="G103" s="202"/>
      <c r="H103" s="202"/>
      <c r="I103" s="142"/>
      <c r="J103" s="142"/>
      <c r="K103" s="142"/>
      <c r="L103" s="142"/>
      <c r="M103" s="142"/>
      <c r="N103" s="142"/>
      <c r="O103" s="142"/>
      <c r="P103" s="142"/>
    </row>
    <row r="104" spans="1:16" ht="15">
      <c r="A104" s="201" t="s">
        <v>42</v>
      </c>
      <c r="B104" s="201"/>
      <c r="C104" s="201"/>
      <c r="D104" s="201"/>
      <c r="E104" s="201"/>
      <c r="F104" s="201"/>
      <c r="G104" s="201"/>
      <c r="H104" s="201"/>
      <c r="I104" s="143"/>
      <c r="J104" s="143"/>
      <c r="K104" s="144"/>
      <c r="L104" s="144"/>
      <c r="M104" s="144"/>
      <c r="N104" s="144"/>
      <c r="O104" s="144"/>
      <c r="P104" s="144"/>
    </row>
    <row r="105" spans="1:16" ht="15">
      <c r="A105" s="211" t="s">
        <v>43</v>
      </c>
      <c r="B105" s="211"/>
      <c r="C105" s="211"/>
      <c r="D105" s="211"/>
      <c r="E105" s="211"/>
      <c r="F105" s="211"/>
      <c r="G105" s="211"/>
      <c r="H105" s="211"/>
      <c r="I105" s="145"/>
      <c r="J105" s="145"/>
      <c r="K105" s="146"/>
      <c r="L105" s="146"/>
      <c r="M105" s="146"/>
      <c r="N105" s="146"/>
      <c r="O105" s="146"/>
      <c r="P105" s="146"/>
    </row>
  </sheetData>
  <mergeCells count="53">
    <mergeCell ref="A19:H19"/>
    <mergeCell ref="E5:H7"/>
    <mergeCell ref="A105:H105"/>
    <mergeCell ref="A62:H62"/>
    <mergeCell ref="A98:H98"/>
    <mergeCell ref="A99:H99"/>
    <mergeCell ref="A101:H101"/>
    <mergeCell ref="A102:H102"/>
    <mergeCell ref="A103:H103"/>
    <mergeCell ref="A104:H104"/>
    <mergeCell ref="A1:H1"/>
    <mergeCell ref="A2:H2"/>
    <mergeCell ref="A3:H3"/>
    <mergeCell ref="A17:H17"/>
    <mergeCell ref="E32:F32"/>
    <mergeCell ref="A33:B33"/>
    <mergeCell ref="C33:G33"/>
    <mergeCell ref="A31:J31"/>
    <mergeCell ref="I32:J32"/>
    <mergeCell ref="H21:H23"/>
    <mergeCell ref="B20:F20"/>
    <mergeCell ref="I20:J20"/>
    <mergeCell ref="A21:B23"/>
    <mergeCell ref="A28:J28"/>
    <mergeCell ref="A34:B46"/>
    <mergeCell ref="C39:G39"/>
    <mergeCell ref="A24:B24"/>
    <mergeCell ref="D21:D23"/>
    <mergeCell ref="E21:E23"/>
    <mergeCell ref="M31:X31"/>
    <mergeCell ref="L34:W34"/>
    <mergeCell ref="A64:J64"/>
    <mergeCell ref="B74:G74"/>
    <mergeCell ref="C32:D32"/>
    <mergeCell ref="C52:G52"/>
    <mergeCell ref="A50:H50"/>
    <mergeCell ref="C21:C23"/>
    <mergeCell ref="F21:F23"/>
    <mergeCell ref="C54:G54"/>
    <mergeCell ref="C55:F55"/>
    <mergeCell ref="G21:G23"/>
    <mergeCell ref="A66:G66"/>
    <mergeCell ref="C58:G58"/>
    <mergeCell ref="A48:H48"/>
    <mergeCell ref="A52:B52"/>
    <mergeCell ref="A93:E93"/>
    <mergeCell ref="B92:H92"/>
    <mergeCell ref="C59:G59"/>
    <mergeCell ref="C53:G53"/>
    <mergeCell ref="A53:B59"/>
    <mergeCell ref="A91:H91"/>
    <mergeCell ref="B67:G67"/>
    <mergeCell ref="C56:G56"/>
  </mergeCells>
  <phoneticPr fontId="5" type="noConversion"/>
  <hyperlinks>
    <hyperlink ref="B67" r:id="rId1" display="blgorod@rambler.ru,"/>
    <hyperlink ref="B66" r:id="rId2" display="blgorod@rambler.ru,"/>
    <hyperlink ref="A103" r:id="rId3" display="blgorod@rambler.ru,"/>
  </hyperlinks>
  <pageMargins left="0.78740157480314965" right="0.78740157480314965" top="0.78740157480314965" bottom="0.82677165354330717" header="0.51181102362204722" footer="0.51181102362204722"/>
  <pageSetup paperSize="9" scale="68" orientation="portrait" verticalDpi="360" r:id="rId4"/>
  <headerFooter alignWithMargins="0"/>
  <rowBreaks count="1" manualBreakCount="1">
    <brk id="63" max="7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Основное</vt:lpstr>
      <vt:lpstr>с ОПУ</vt:lpstr>
      <vt:lpstr>Набережная 10</vt:lpstr>
      <vt:lpstr>Набережная 11</vt:lpstr>
      <vt:lpstr>Набережная 12</vt:lpstr>
      <vt:lpstr>Набережная 13</vt:lpstr>
      <vt:lpstr>Набережная 17</vt:lpstr>
      <vt:lpstr>Лист1</vt:lpstr>
      <vt:lpstr>Лист2</vt:lpstr>
      <vt:lpstr>'Набережная 10'!Область_печати</vt:lpstr>
      <vt:lpstr>'Набережная 11'!Область_печати</vt:lpstr>
      <vt:lpstr>'Набережная 12'!Область_печати</vt:lpstr>
      <vt:lpstr>'Набережная 13'!Область_печати</vt:lpstr>
      <vt:lpstr>'Набережная 17'!Область_печати</vt:lpstr>
      <vt:lpstr>Основное!Область_печати</vt:lpstr>
    </vt:vector>
  </TitlesOfParts>
  <Company>Благоустроенный город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ООО</dc:creator>
  <cp:lastModifiedBy>ооо</cp:lastModifiedBy>
  <cp:lastPrinted>2019-03-29T07:24:25Z</cp:lastPrinted>
  <dcterms:created xsi:type="dcterms:W3CDTF">2011-03-16T07:53:38Z</dcterms:created>
  <dcterms:modified xsi:type="dcterms:W3CDTF">2019-04-01T04:37:13Z</dcterms:modified>
</cp:coreProperties>
</file>